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Hamdi Abidi\Desktop\Support Technique\LoRaWAN\Décodage des trames et générateur downlinks\"/>
    </mc:Choice>
  </mc:AlternateContent>
  <xr:revisionPtr revIDLastSave="0" documentId="13_ncr:1_{CD45EBEA-8F17-4E27-A5AE-CA9E95F4B301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600-021" sheetId="25" r:id="rId1"/>
    <sheet name="600-022" sheetId="32" r:id="rId2"/>
    <sheet name="600-023" sheetId="33" r:id="rId3"/>
    <sheet name="600-031" sheetId="34" r:id="rId4"/>
    <sheet name="600-036" sheetId="35" r:id="rId5"/>
    <sheet name="600-037" sheetId="36" r:id="rId6"/>
    <sheet name="600-038" sheetId="37" r:id="rId7"/>
    <sheet name="600-039" sheetId="38" r:id="rId8"/>
    <sheet name="600-232" sheetId="39" r:id="rId9"/>
    <sheet name="600-035" sheetId="40" r:id="rId10"/>
    <sheet name="600-034" sheetId="41" r:id="rId11"/>
    <sheet name="600-032" sheetId="42" r:id="rId12"/>
  </sheet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4" i="36" l="1"/>
  <c r="O14" i="36"/>
  <c r="H62" i="37"/>
  <c r="H61" i="37"/>
  <c r="H60" i="37"/>
  <c r="H59" i="37"/>
  <c r="H58" i="37"/>
  <c r="H57" i="37"/>
  <c r="H56" i="37"/>
  <c r="H55" i="37"/>
  <c r="H54" i="37"/>
  <c r="H53" i="37"/>
  <c r="I53" i="37"/>
  <c r="H62" i="36"/>
  <c r="H61" i="36"/>
  <c r="H60" i="36"/>
  <c r="H59" i="36"/>
  <c r="H58" i="36"/>
  <c r="H57" i="36"/>
  <c r="H56" i="36"/>
  <c r="H55" i="36"/>
  <c r="H54" i="36"/>
  <c r="H53" i="36"/>
  <c r="I53" i="36"/>
  <c r="H62" i="35"/>
  <c r="H61" i="35"/>
  <c r="H60" i="35"/>
  <c r="H59" i="35"/>
  <c r="H58" i="35"/>
  <c r="H57" i="35"/>
  <c r="H56" i="35"/>
  <c r="H55" i="35"/>
  <c r="H54" i="35"/>
  <c r="H53" i="35"/>
  <c r="I53" i="35"/>
  <c r="O14" i="37"/>
  <c r="P14" i="37"/>
  <c r="N14" i="36"/>
  <c r="N14" i="37"/>
  <c r="O13" i="37"/>
  <c r="N13" i="37"/>
  <c r="H13" i="37"/>
  <c r="H28" i="35"/>
  <c r="H30" i="35"/>
  <c r="T14" i="38"/>
  <c r="S14" i="38"/>
  <c r="R14" i="38"/>
  <c r="Q14" i="38"/>
  <c r="H34" i="42"/>
  <c r="H33" i="42"/>
  <c r="H34" i="41"/>
  <c r="H33" i="41"/>
  <c r="H36" i="39"/>
  <c r="H35" i="39"/>
  <c r="H34" i="39"/>
  <c r="H33" i="39"/>
  <c r="H34" i="34"/>
  <c r="H33" i="34"/>
  <c r="H36" i="33"/>
  <c r="H35" i="33"/>
  <c r="H38" i="25"/>
  <c r="H37" i="25"/>
  <c r="H36" i="32"/>
  <c r="H35" i="32"/>
  <c r="H36" i="25"/>
  <c r="H35" i="25"/>
  <c r="E11" i="42"/>
  <c r="E10" i="42"/>
  <c r="E10" i="41"/>
  <c r="E11" i="39"/>
  <c r="E10" i="39"/>
  <c r="E11" i="34"/>
  <c r="E10" i="34"/>
  <c r="E10" i="32"/>
  <c r="D11" i="25"/>
  <c r="E11" i="25"/>
  <c r="X13" i="42"/>
  <c r="W13" i="42"/>
  <c r="V13" i="42"/>
  <c r="U13" i="42"/>
  <c r="X13" i="41"/>
  <c r="W13" i="41"/>
  <c r="V13" i="41"/>
  <c r="U13" i="41"/>
  <c r="X12" i="40"/>
  <c r="W12" i="40"/>
  <c r="V12" i="40"/>
  <c r="U12" i="40"/>
  <c r="X13" i="39"/>
  <c r="W13" i="39"/>
  <c r="V13" i="39"/>
  <c r="U13" i="39"/>
  <c r="X14" i="38"/>
  <c r="W14" i="38"/>
  <c r="V14" i="38"/>
  <c r="U14" i="38"/>
  <c r="X13" i="34"/>
  <c r="W13" i="34"/>
  <c r="V13" i="34"/>
  <c r="U13" i="34"/>
  <c r="X15" i="32"/>
  <c r="W15" i="32"/>
  <c r="V15" i="32"/>
  <c r="U15" i="32"/>
  <c r="B8" i="25"/>
  <c r="B9" i="25"/>
  <c r="B10" i="25"/>
  <c r="B11" i="25"/>
  <c r="B12" i="25"/>
  <c r="B13" i="25"/>
  <c r="B14" i="25"/>
  <c r="B15" i="25"/>
  <c r="B16" i="25"/>
  <c r="D16" i="25"/>
  <c r="H16" i="25"/>
  <c r="X16" i="25"/>
  <c r="W16" i="25"/>
  <c r="V16" i="25"/>
  <c r="U16" i="25"/>
  <c r="H46" i="38"/>
  <c r="H45" i="38"/>
  <c r="H44" i="38"/>
  <c r="H43" i="38"/>
  <c r="H42" i="38"/>
  <c r="H41" i="38"/>
  <c r="H40" i="38"/>
  <c r="H39" i="38"/>
  <c r="H38" i="38"/>
  <c r="H37" i="38"/>
  <c r="H36" i="38"/>
  <c r="H35" i="38"/>
  <c r="H34" i="38"/>
  <c r="H33" i="38"/>
  <c r="H32" i="38"/>
  <c r="H31" i="38"/>
  <c r="H30" i="38"/>
  <c r="H29" i="38"/>
  <c r="H28" i="38"/>
  <c r="H46" i="37"/>
  <c r="H45" i="37"/>
  <c r="H44" i="37"/>
  <c r="H43" i="37"/>
  <c r="H42" i="37"/>
  <c r="H41" i="37"/>
  <c r="H40" i="37"/>
  <c r="H39" i="37"/>
  <c r="H38" i="37"/>
  <c r="H37" i="37"/>
  <c r="H36" i="37"/>
  <c r="H35" i="37"/>
  <c r="H34" i="37"/>
  <c r="H33" i="37"/>
  <c r="H32" i="37"/>
  <c r="H31" i="37"/>
  <c r="H30" i="37"/>
  <c r="H29" i="37"/>
  <c r="H28" i="37"/>
  <c r="H46" i="36"/>
  <c r="H45" i="36"/>
  <c r="H44" i="36"/>
  <c r="H43" i="36"/>
  <c r="H42" i="36"/>
  <c r="H41" i="36"/>
  <c r="H40" i="36"/>
  <c r="H39" i="36"/>
  <c r="H38" i="36"/>
  <c r="H37" i="36"/>
  <c r="H36" i="36"/>
  <c r="H35" i="36"/>
  <c r="H34" i="36"/>
  <c r="H33" i="36"/>
  <c r="H32" i="36"/>
  <c r="H31" i="36"/>
  <c r="H30" i="36"/>
  <c r="H29" i="36"/>
  <c r="H28" i="36"/>
  <c r="H45" i="35"/>
  <c r="H44" i="35"/>
  <c r="H43" i="35"/>
  <c r="H42" i="35"/>
  <c r="H41" i="35"/>
  <c r="H40" i="35"/>
  <c r="H39" i="35"/>
  <c r="H38" i="35"/>
  <c r="H37" i="35"/>
  <c r="H36" i="35"/>
  <c r="H35" i="35"/>
  <c r="H34" i="35"/>
  <c r="H34" i="40"/>
  <c r="H33" i="40"/>
  <c r="H32" i="40"/>
  <c r="H44" i="40"/>
  <c r="H43" i="40"/>
  <c r="H42" i="40"/>
  <c r="H41" i="40"/>
  <c r="H40" i="40"/>
  <c r="H39" i="40"/>
  <c r="H38" i="40"/>
  <c r="H37" i="40"/>
  <c r="H36" i="40"/>
  <c r="H35" i="40"/>
  <c r="H31" i="40"/>
  <c r="H30" i="40"/>
  <c r="H29" i="40"/>
  <c r="H28" i="40"/>
  <c r="H27" i="40"/>
  <c r="H26" i="40"/>
  <c r="H45" i="42"/>
  <c r="H44" i="42"/>
  <c r="H43" i="42"/>
  <c r="H42" i="42"/>
  <c r="H41" i="42"/>
  <c r="H40" i="42"/>
  <c r="H39" i="42"/>
  <c r="H38" i="42"/>
  <c r="H37" i="42"/>
  <c r="H36" i="42"/>
  <c r="H35" i="42"/>
  <c r="H32" i="42"/>
  <c r="I27" i="42" s="1"/>
  <c r="H31" i="42"/>
  <c r="H30" i="42"/>
  <c r="H29" i="42"/>
  <c r="H28" i="42"/>
  <c r="H27" i="42"/>
  <c r="H45" i="41"/>
  <c r="H44" i="41"/>
  <c r="H43" i="41"/>
  <c r="H42" i="41"/>
  <c r="H41" i="41"/>
  <c r="H40" i="41"/>
  <c r="H39" i="41"/>
  <c r="H38" i="41"/>
  <c r="H37" i="41"/>
  <c r="H36" i="41"/>
  <c r="H35" i="41"/>
  <c r="H32" i="41"/>
  <c r="I27" i="41" s="1"/>
  <c r="H31" i="41"/>
  <c r="H30" i="41"/>
  <c r="H29" i="41"/>
  <c r="H28" i="41"/>
  <c r="H27" i="41"/>
  <c r="H45" i="39"/>
  <c r="H44" i="39"/>
  <c r="H43" i="39"/>
  <c r="H42" i="39"/>
  <c r="H41" i="39"/>
  <c r="H40" i="39"/>
  <c r="H39" i="39"/>
  <c r="H38" i="39"/>
  <c r="H37" i="39"/>
  <c r="H32" i="39"/>
  <c r="H31" i="39"/>
  <c r="H30" i="39"/>
  <c r="H29" i="39"/>
  <c r="H28" i="39"/>
  <c r="H27" i="39"/>
  <c r="H46" i="35"/>
  <c r="H33" i="35"/>
  <c r="H32" i="35"/>
  <c r="H31" i="35"/>
  <c r="H29" i="35"/>
  <c r="H45" i="34"/>
  <c r="H44" i="34"/>
  <c r="H43" i="34"/>
  <c r="H42" i="34"/>
  <c r="H41" i="34"/>
  <c r="H40" i="34"/>
  <c r="H39" i="34"/>
  <c r="H38" i="34"/>
  <c r="H37" i="34"/>
  <c r="H36" i="34"/>
  <c r="H35" i="34"/>
  <c r="H32" i="34"/>
  <c r="H31" i="34"/>
  <c r="H30" i="34"/>
  <c r="H29" i="34"/>
  <c r="H28" i="34"/>
  <c r="H27" i="34"/>
  <c r="H47" i="33"/>
  <c r="H46" i="33"/>
  <c r="H45" i="33"/>
  <c r="H44" i="33"/>
  <c r="H43" i="33"/>
  <c r="H42" i="33"/>
  <c r="H41" i="33"/>
  <c r="H40" i="33"/>
  <c r="H39" i="33"/>
  <c r="H38" i="33"/>
  <c r="H37" i="33"/>
  <c r="H34" i="33"/>
  <c r="H33" i="33"/>
  <c r="H32" i="33"/>
  <c r="H31" i="33"/>
  <c r="H30" i="33"/>
  <c r="H29" i="33"/>
  <c r="H47" i="32"/>
  <c r="H46" i="32"/>
  <c r="H45" i="32"/>
  <c r="H44" i="32"/>
  <c r="H43" i="32"/>
  <c r="H42" i="32"/>
  <c r="H41" i="32"/>
  <c r="H40" i="32"/>
  <c r="H39" i="32"/>
  <c r="H38" i="32"/>
  <c r="H37" i="32"/>
  <c r="H34" i="32"/>
  <c r="H33" i="32"/>
  <c r="H32" i="32"/>
  <c r="H31" i="32"/>
  <c r="H30" i="32"/>
  <c r="H29" i="32"/>
  <c r="H47" i="25"/>
  <c r="H46" i="25"/>
  <c r="H45" i="25"/>
  <c r="H44" i="25"/>
  <c r="H43" i="25"/>
  <c r="H42" i="25"/>
  <c r="H41" i="25"/>
  <c r="H40" i="25"/>
  <c r="H39" i="25"/>
  <c r="H34" i="25"/>
  <c r="H33" i="25"/>
  <c r="H32" i="25"/>
  <c r="H31" i="25"/>
  <c r="H30" i="25"/>
  <c r="H29" i="25"/>
  <c r="E9" i="32"/>
  <c r="Q15" i="32"/>
  <c r="M15" i="32"/>
  <c r="I15" i="32"/>
  <c r="H15" i="32"/>
  <c r="G15" i="32"/>
  <c r="P15" i="32"/>
  <c r="W14" i="32"/>
  <c r="S14" i="32"/>
  <c r="H14" i="32"/>
  <c r="V14" i="32"/>
  <c r="G14" i="32"/>
  <c r="N14" i="32"/>
  <c r="K14" i="32"/>
  <c r="O14" i="32"/>
  <c r="L14" i="32"/>
  <c r="P14" i="32"/>
  <c r="T14" i="32"/>
  <c r="X14" i="32"/>
  <c r="J15" i="32"/>
  <c r="N15" i="32"/>
  <c r="R15" i="32"/>
  <c r="I14" i="32"/>
  <c r="M14" i="32"/>
  <c r="Q14" i="32"/>
  <c r="U14" i="32"/>
  <c r="K15" i="32"/>
  <c r="O15" i="32"/>
  <c r="S15" i="32"/>
  <c r="J14" i="32"/>
  <c r="R14" i="32"/>
  <c r="L15" i="32"/>
  <c r="T15" i="32"/>
  <c r="B7" i="42"/>
  <c r="D6" i="42"/>
  <c r="E6" i="42"/>
  <c r="D6" i="41"/>
  <c r="E6" i="41"/>
  <c r="B7" i="41"/>
  <c r="D6" i="40"/>
  <c r="E6" i="40"/>
  <c r="B7" i="40"/>
  <c r="D6" i="39"/>
  <c r="E6" i="39"/>
  <c r="B7" i="39"/>
  <c r="D6" i="38"/>
  <c r="E6" i="38"/>
  <c r="B7" i="38"/>
  <c r="D6" i="37"/>
  <c r="E6" i="37"/>
  <c r="B7" i="37"/>
  <c r="B8" i="42"/>
  <c r="D7" i="42"/>
  <c r="E7" i="42"/>
  <c r="B8" i="41"/>
  <c r="D7" i="41"/>
  <c r="E7" i="41"/>
  <c r="B8" i="40"/>
  <c r="D7" i="40"/>
  <c r="E7" i="40"/>
  <c r="B8" i="39"/>
  <c r="D7" i="39"/>
  <c r="E7" i="39"/>
  <c r="D7" i="38"/>
  <c r="E7" i="38"/>
  <c r="B8" i="38"/>
  <c r="D7" i="37"/>
  <c r="E7" i="37"/>
  <c r="B8" i="37"/>
  <c r="D6" i="35"/>
  <c r="E6" i="35" s="1"/>
  <c r="B7" i="35"/>
  <c r="D6" i="34"/>
  <c r="E6" i="34"/>
  <c r="B7" i="33"/>
  <c r="D6" i="33"/>
  <c r="E6" i="33"/>
  <c r="B7" i="32"/>
  <c r="D6" i="32"/>
  <c r="E6" i="32"/>
  <c r="D8" i="42"/>
  <c r="E8" i="42"/>
  <c r="B9" i="42"/>
  <c r="B9" i="41"/>
  <c r="D8" i="41"/>
  <c r="E8" i="41"/>
  <c r="B9" i="40"/>
  <c r="D8" i="40"/>
  <c r="E8" i="40"/>
  <c r="B9" i="39"/>
  <c r="D8" i="39"/>
  <c r="E8" i="39"/>
  <c r="B9" i="38"/>
  <c r="D8" i="38"/>
  <c r="E8" i="38"/>
  <c r="B9" i="37"/>
  <c r="D8" i="37"/>
  <c r="E8" i="37"/>
  <c r="D6" i="36"/>
  <c r="E6" i="36"/>
  <c r="B7" i="36"/>
  <c r="D7" i="35"/>
  <c r="E7" i="35" s="1"/>
  <c r="B8" i="35"/>
  <c r="B7" i="34"/>
  <c r="D7" i="34"/>
  <c r="E7" i="34"/>
  <c r="D7" i="33"/>
  <c r="E7" i="33" s="1"/>
  <c r="B8" i="33"/>
  <c r="D7" i="32"/>
  <c r="E7" i="32"/>
  <c r="B8" i="32"/>
  <c r="B8" i="34"/>
  <c r="D8" i="34"/>
  <c r="E8" i="34"/>
  <c r="D9" i="42"/>
  <c r="E9" i="42"/>
  <c r="B10" i="42"/>
  <c r="D9" i="41"/>
  <c r="E9" i="41"/>
  <c r="B10" i="41"/>
  <c r="D9" i="40"/>
  <c r="E9" i="40"/>
  <c r="B10" i="40"/>
  <c r="D9" i="39"/>
  <c r="E9" i="39"/>
  <c r="B10" i="39"/>
  <c r="B10" i="38"/>
  <c r="D9" i="38"/>
  <c r="E9" i="38"/>
  <c r="B10" i="37"/>
  <c r="D9" i="37"/>
  <c r="E9" i="37"/>
  <c r="D7" i="36"/>
  <c r="E7" i="36"/>
  <c r="B8" i="36"/>
  <c r="D8" i="35"/>
  <c r="E8" i="35" s="1"/>
  <c r="B9" i="35"/>
  <c r="D8" i="33"/>
  <c r="E8" i="33" s="1"/>
  <c r="B9" i="33"/>
  <c r="D8" i="32"/>
  <c r="E8" i="32"/>
  <c r="B9" i="32"/>
  <c r="D7" i="25"/>
  <c r="E7" i="25"/>
  <c r="B9" i="34"/>
  <c r="B11" i="42"/>
  <c r="D10" i="42"/>
  <c r="B11" i="41"/>
  <c r="D10" i="41"/>
  <c r="D10" i="40"/>
  <c r="E10" i="40"/>
  <c r="B11" i="40"/>
  <c r="D10" i="39"/>
  <c r="B11" i="39"/>
  <c r="D10" i="38"/>
  <c r="E10" i="38"/>
  <c r="B11" i="38"/>
  <c r="D10" i="37"/>
  <c r="E10" i="37"/>
  <c r="B11" i="37"/>
  <c r="B9" i="36"/>
  <c r="D8" i="36"/>
  <c r="E8" i="36"/>
  <c r="B10" i="35"/>
  <c r="D9" i="35"/>
  <c r="E9" i="35" s="1"/>
  <c r="B10" i="34"/>
  <c r="D9" i="34"/>
  <c r="E9" i="34"/>
  <c r="B10" i="33"/>
  <c r="D9" i="33"/>
  <c r="E9" i="33"/>
  <c r="B10" i="32"/>
  <c r="D9" i="32"/>
  <c r="D8" i="25"/>
  <c r="E8" i="25"/>
  <c r="B12" i="42"/>
  <c r="D11" i="42"/>
  <c r="B12" i="41"/>
  <c r="D11" i="41"/>
  <c r="E11" i="41"/>
  <c r="B12" i="40"/>
  <c r="D11" i="40"/>
  <c r="B12" i="39"/>
  <c r="D11" i="39"/>
  <c r="D11" i="38"/>
  <c r="E11" i="38"/>
  <c r="B12" i="38"/>
  <c r="D11" i="37"/>
  <c r="E11" i="37"/>
  <c r="B12" i="37"/>
  <c r="B10" i="36"/>
  <c r="D9" i="36"/>
  <c r="E9" i="36"/>
  <c r="B11" i="35"/>
  <c r="D10" i="35"/>
  <c r="E10" i="35"/>
  <c r="B11" i="34"/>
  <c r="B12" i="34"/>
  <c r="D10" i="34"/>
  <c r="B11" i="33"/>
  <c r="D10" i="33"/>
  <c r="E10" i="33" s="1"/>
  <c r="B11" i="32"/>
  <c r="D10" i="32"/>
  <c r="D9" i="25"/>
  <c r="E9" i="25"/>
  <c r="E11" i="40"/>
  <c r="H11" i="40"/>
  <c r="G11" i="40"/>
  <c r="D12" i="42"/>
  <c r="B13" i="42"/>
  <c r="B13" i="41"/>
  <c r="D12" i="41"/>
  <c r="D12" i="40"/>
  <c r="D12" i="39"/>
  <c r="B13" i="39"/>
  <c r="B13" i="38"/>
  <c r="D12" i="38"/>
  <c r="E12" i="38"/>
  <c r="B13" i="37"/>
  <c r="D12" i="37"/>
  <c r="E12" i="37"/>
  <c r="D10" i="36"/>
  <c r="E10" i="36"/>
  <c r="B11" i="36"/>
  <c r="D11" i="35"/>
  <c r="E11" i="35" s="1"/>
  <c r="B12" i="35"/>
  <c r="D12" i="34"/>
  <c r="B13" i="34"/>
  <c r="D13" i="34"/>
  <c r="D11" i="34"/>
  <c r="D11" i="33"/>
  <c r="E11" i="33"/>
  <c r="B12" i="33"/>
  <c r="D11" i="32"/>
  <c r="E11" i="32"/>
  <c r="B12" i="32"/>
  <c r="D10" i="25"/>
  <c r="E10" i="25"/>
  <c r="E12" i="34"/>
  <c r="H12" i="34"/>
  <c r="G12" i="34"/>
  <c r="E13" i="34"/>
  <c r="H13" i="34"/>
  <c r="G13" i="34"/>
  <c r="E12" i="39"/>
  <c r="H12" i="39"/>
  <c r="G12" i="39"/>
  <c r="N11" i="40"/>
  <c r="O11" i="40"/>
  <c r="L11" i="40"/>
  <c r="I11" i="40"/>
  <c r="K11" i="40"/>
  <c r="P11" i="40"/>
  <c r="M11" i="40"/>
  <c r="J11" i="40"/>
  <c r="V11" i="40"/>
  <c r="S11" i="40"/>
  <c r="W11" i="40"/>
  <c r="X11" i="40"/>
  <c r="U11" i="40"/>
  <c r="R11" i="40"/>
  <c r="T11" i="40"/>
  <c r="Q11" i="40"/>
  <c r="E12" i="40"/>
  <c r="H12" i="40"/>
  <c r="G12" i="40"/>
  <c r="E12" i="41"/>
  <c r="H12" i="41"/>
  <c r="G12" i="41"/>
  <c r="E12" i="42"/>
  <c r="H12" i="42"/>
  <c r="G12" i="42"/>
  <c r="D13" i="42"/>
  <c r="D13" i="41"/>
  <c r="D13" i="39"/>
  <c r="B14" i="38"/>
  <c r="D13" i="38"/>
  <c r="B14" i="37"/>
  <c r="D13" i="37"/>
  <c r="D11" i="36"/>
  <c r="E11" i="36"/>
  <c r="B12" i="36"/>
  <c r="D12" i="35"/>
  <c r="E12" i="35"/>
  <c r="B13" i="35"/>
  <c r="D12" i="33"/>
  <c r="E12" i="33"/>
  <c r="B13" i="33"/>
  <c r="D12" i="32"/>
  <c r="E12" i="32"/>
  <c r="B13" i="32"/>
  <c r="N12" i="34"/>
  <c r="L12" i="34"/>
  <c r="O12" i="34"/>
  <c r="P12" i="34"/>
  <c r="K12" i="34"/>
  <c r="M12" i="34"/>
  <c r="J12" i="34"/>
  <c r="I12" i="34"/>
  <c r="P13" i="34"/>
  <c r="I13" i="34"/>
  <c r="M13" i="34"/>
  <c r="J13" i="34"/>
  <c r="L13" i="34"/>
  <c r="N13" i="34"/>
  <c r="K13" i="34"/>
  <c r="O13" i="34"/>
  <c r="V12" i="34"/>
  <c r="S12" i="34"/>
  <c r="W12" i="34"/>
  <c r="U12" i="34"/>
  <c r="T12" i="34"/>
  <c r="X12" i="34"/>
  <c r="Q12" i="34"/>
  <c r="R12" i="34"/>
  <c r="Q13" i="34"/>
  <c r="T13" i="34"/>
  <c r="R13" i="34"/>
  <c r="S13" i="34"/>
  <c r="E13" i="37"/>
  <c r="G13" i="37"/>
  <c r="E13" i="38"/>
  <c r="H13" i="38"/>
  <c r="G13" i="38"/>
  <c r="V12" i="39"/>
  <c r="W12" i="39"/>
  <c r="S12" i="39"/>
  <c r="T12" i="39"/>
  <c r="Q12" i="39"/>
  <c r="X12" i="39"/>
  <c r="U12" i="39"/>
  <c r="R12" i="39"/>
  <c r="E13" i="39"/>
  <c r="G13" i="39"/>
  <c r="H13" i="39"/>
  <c r="N12" i="39"/>
  <c r="O12" i="39"/>
  <c r="J12" i="39"/>
  <c r="K12" i="39"/>
  <c r="P12" i="39"/>
  <c r="L12" i="39"/>
  <c r="I12" i="39"/>
  <c r="M12" i="39"/>
  <c r="P12" i="40"/>
  <c r="I12" i="40"/>
  <c r="M12" i="40"/>
  <c r="L12" i="40"/>
  <c r="J12" i="40"/>
  <c r="K12" i="40"/>
  <c r="N12" i="40"/>
  <c r="O12" i="40"/>
  <c r="Q12" i="40"/>
  <c r="T12" i="40"/>
  <c r="R12" i="40"/>
  <c r="S12" i="40"/>
  <c r="E13" i="41"/>
  <c r="H13" i="41"/>
  <c r="G13" i="41"/>
  <c r="V12" i="41"/>
  <c r="W12" i="41"/>
  <c r="S12" i="41"/>
  <c r="X12" i="41"/>
  <c r="Q12" i="41"/>
  <c r="U12" i="41"/>
  <c r="T12" i="41"/>
  <c r="R12" i="41"/>
  <c r="N12" i="41"/>
  <c r="K12" i="41"/>
  <c r="L12" i="41"/>
  <c r="O12" i="41"/>
  <c r="P12" i="41"/>
  <c r="I12" i="41"/>
  <c r="J12" i="41"/>
  <c r="M12" i="41"/>
  <c r="N12" i="42"/>
  <c r="L12" i="42"/>
  <c r="K12" i="42"/>
  <c r="P12" i="42"/>
  <c r="I12" i="42"/>
  <c r="O12" i="42"/>
  <c r="M12" i="42"/>
  <c r="J12" i="42"/>
  <c r="V12" i="42"/>
  <c r="W12" i="42"/>
  <c r="S12" i="42"/>
  <c r="U12" i="42"/>
  <c r="X12" i="42"/>
  <c r="R12" i="42"/>
  <c r="Q12" i="42"/>
  <c r="T12" i="42"/>
  <c r="E13" i="42"/>
  <c r="H13" i="42"/>
  <c r="G13" i="42"/>
  <c r="D14" i="38"/>
  <c r="D14" i="37"/>
  <c r="B13" i="36"/>
  <c r="D12" i="36"/>
  <c r="E12" i="36"/>
  <c r="B14" i="35"/>
  <c r="D14" i="35"/>
  <c r="H14" i="35" s="1"/>
  <c r="D13" i="35"/>
  <c r="E13" i="35" s="1"/>
  <c r="B14" i="33"/>
  <c r="D13" i="33"/>
  <c r="E13" i="33" s="1"/>
  <c r="B14" i="32"/>
  <c r="D13" i="32"/>
  <c r="E13" i="32"/>
  <c r="D12" i="25"/>
  <c r="E12" i="25"/>
  <c r="E14" i="37"/>
  <c r="H14" i="37"/>
  <c r="G14" i="37"/>
  <c r="V13" i="37"/>
  <c r="W13" i="37"/>
  <c r="S13" i="37"/>
  <c r="Q13" i="37"/>
  <c r="X13" i="37"/>
  <c r="U13" i="37"/>
  <c r="R13" i="37"/>
  <c r="T13" i="37"/>
  <c r="L13" i="37"/>
  <c r="I13" i="37"/>
  <c r="K13" i="37"/>
  <c r="P13" i="37"/>
  <c r="M13" i="37"/>
  <c r="J13" i="37"/>
  <c r="N13" i="38"/>
  <c r="O13" i="38"/>
  <c r="K13" i="38"/>
  <c r="I13" i="38"/>
  <c r="L13" i="38"/>
  <c r="P13" i="38"/>
  <c r="M13" i="38"/>
  <c r="J13" i="38"/>
  <c r="V13" i="38"/>
  <c r="W13" i="38"/>
  <c r="S13" i="38"/>
  <c r="X13" i="38"/>
  <c r="Q13" i="38"/>
  <c r="U13" i="38"/>
  <c r="T13" i="38"/>
  <c r="R13" i="38"/>
  <c r="E14" i="38"/>
  <c r="H14" i="38"/>
  <c r="G14" i="38"/>
  <c r="R13" i="39"/>
  <c r="S13" i="39"/>
  <c r="Q13" i="39"/>
  <c r="T13" i="39"/>
  <c r="P13" i="39"/>
  <c r="J13" i="39"/>
  <c r="I13" i="39"/>
  <c r="M13" i="39"/>
  <c r="N13" i="39"/>
  <c r="O13" i="39"/>
  <c r="K13" i="39"/>
  <c r="L13" i="39"/>
  <c r="P13" i="41"/>
  <c r="M13" i="41"/>
  <c r="I13" i="41"/>
  <c r="L13" i="41"/>
  <c r="O13" i="41"/>
  <c r="J13" i="41"/>
  <c r="N13" i="41"/>
  <c r="K13" i="41"/>
  <c r="Q13" i="41"/>
  <c r="S13" i="41"/>
  <c r="T13" i="41"/>
  <c r="R13" i="41"/>
  <c r="Q13" i="42"/>
  <c r="T13" i="42"/>
  <c r="R13" i="42"/>
  <c r="S13" i="42"/>
  <c r="P13" i="42"/>
  <c r="M13" i="42"/>
  <c r="I13" i="42"/>
  <c r="J13" i="42"/>
  <c r="L13" i="42"/>
  <c r="N13" i="42"/>
  <c r="K13" i="42"/>
  <c r="O13" i="42"/>
  <c r="B14" i="36"/>
  <c r="D13" i="36"/>
  <c r="B15" i="33"/>
  <c r="D14" i="33"/>
  <c r="E14" i="33" s="1"/>
  <c r="B15" i="32"/>
  <c r="D14" i="32"/>
  <c r="E14" i="32"/>
  <c r="D13" i="25"/>
  <c r="E13" i="25"/>
  <c r="G14" i="35"/>
  <c r="P14" i="35" s="1"/>
  <c r="E13" i="36"/>
  <c r="H13" i="36"/>
  <c r="G13" i="36"/>
  <c r="M14" i="37"/>
  <c r="I14" i="37"/>
  <c r="J14" i="37"/>
  <c r="K14" i="37"/>
  <c r="L14" i="37"/>
  <c r="P14" i="38"/>
  <c r="M14" i="38"/>
  <c r="I14" i="38"/>
  <c r="L14" i="38"/>
  <c r="J14" i="38"/>
  <c r="K14" i="38"/>
  <c r="O14" i="38"/>
  <c r="N14" i="38"/>
  <c r="D14" i="36"/>
  <c r="D15" i="33"/>
  <c r="D15" i="32"/>
  <c r="E15" i="32"/>
  <c r="D14" i="25"/>
  <c r="E14" i="25"/>
  <c r="E14" i="36"/>
  <c r="H14" i="36"/>
  <c r="G14" i="36"/>
  <c r="V13" i="36"/>
  <c r="W13" i="36"/>
  <c r="S13" i="36"/>
  <c r="X13" i="36"/>
  <c r="U13" i="36"/>
  <c r="R13" i="36"/>
  <c r="T13" i="36"/>
  <c r="Q13" i="36"/>
  <c r="N13" i="36"/>
  <c r="K13" i="36"/>
  <c r="O13" i="36"/>
  <c r="L13" i="36"/>
  <c r="I13" i="36"/>
  <c r="J13" i="36"/>
  <c r="P13" i="36"/>
  <c r="M13" i="36"/>
  <c r="E15" i="33"/>
  <c r="G15" i="33"/>
  <c r="K15" i="33" s="1"/>
  <c r="H15" i="33"/>
  <c r="U15" i="33" s="1"/>
  <c r="D15" i="25"/>
  <c r="M14" i="36"/>
  <c r="I14" i="36"/>
  <c r="L14" i="36"/>
  <c r="J14" i="36"/>
  <c r="K14" i="36"/>
  <c r="S15" i="33"/>
  <c r="J15" i="33"/>
  <c r="E15" i="25"/>
  <c r="H15" i="25"/>
  <c r="G15" i="25"/>
  <c r="V15" i="25"/>
  <c r="W15" i="25"/>
  <c r="S15" i="25"/>
  <c r="T15" i="25"/>
  <c r="Q15" i="25"/>
  <c r="R15" i="25"/>
  <c r="U15" i="25"/>
  <c r="X15" i="25"/>
  <c r="E16" i="25"/>
  <c r="G16" i="25"/>
  <c r="N15" i="25"/>
  <c r="P15" i="25"/>
  <c r="M15" i="25"/>
  <c r="J15" i="25"/>
  <c r="L15" i="25"/>
  <c r="O15" i="25"/>
  <c r="I15" i="25"/>
  <c r="K15" i="25"/>
  <c r="Q16" i="25"/>
  <c r="R16" i="25"/>
  <c r="S16" i="25"/>
  <c r="T16" i="25"/>
  <c r="P16" i="25"/>
  <c r="M16" i="25"/>
  <c r="I16" i="25"/>
  <c r="N16" i="25"/>
  <c r="O16" i="25"/>
  <c r="L16" i="25"/>
  <c r="K16" i="25"/>
  <c r="J16" i="25"/>
  <c r="T14" i="36"/>
  <c r="S14" i="36"/>
  <c r="R14" i="36"/>
  <c r="Q14" i="36"/>
  <c r="X14" i="36"/>
  <c r="W14" i="36"/>
  <c r="V14" i="36"/>
  <c r="U14" i="36"/>
  <c r="T14" i="37"/>
  <c r="S14" i="37"/>
  <c r="R14" i="37"/>
  <c r="Q14" i="37"/>
  <c r="X14" i="37"/>
  <c r="W14" i="37"/>
  <c r="V14" i="37"/>
  <c r="U14" i="37"/>
  <c r="I26" i="40" l="1"/>
  <c r="I27" i="39"/>
  <c r="I28" i="38"/>
  <c r="I28" i="37"/>
  <c r="I28" i="35"/>
  <c r="I27" i="34"/>
  <c r="I29" i="33"/>
  <c r="I29" i="32"/>
  <c r="I29" i="25"/>
  <c r="I28" i="36"/>
  <c r="V15" i="33"/>
  <c r="L15" i="33"/>
  <c r="W15" i="33"/>
  <c r="R15" i="33"/>
  <c r="O15" i="33"/>
  <c r="I15" i="33"/>
  <c r="M15" i="33"/>
  <c r="H14" i="33"/>
  <c r="X15" i="33"/>
  <c r="Q15" i="33"/>
  <c r="N15" i="33"/>
  <c r="P15" i="33"/>
  <c r="G14" i="33"/>
  <c r="T15" i="33"/>
  <c r="E14" i="35"/>
  <c r="N14" i="35"/>
  <c r="H13" i="35"/>
  <c r="G13" i="35"/>
  <c r="I13" i="35" s="1"/>
  <c r="M14" i="35"/>
  <c r="I14" i="35"/>
  <c r="T14" i="35"/>
  <c r="X14" i="35"/>
  <c r="V14" i="35"/>
  <c r="S14" i="35"/>
  <c r="W14" i="35"/>
  <c r="Q14" i="35"/>
  <c r="U14" i="35"/>
  <c r="R14" i="35"/>
  <c r="L14" i="35"/>
  <c r="J14" i="35"/>
  <c r="R13" i="35"/>
  <c r="O14" i="35"/>
  <c r="K14" i="35"/>
  <c r="S14" i="33" l="1"/>
  <c r="T14" i="33"/>
  <c r="Q14" i="33"/>
  <c r="R14" i="33"/>
  <c r="X14" i="33"/>
  <c r="U14" i="33"/>
  <c r="V14" i="33"/>
  <c r="W14" i="33"/>
  <c r="M14" i="33"/>
  <c r="K14" i="33"/>
  <c r="L14" i="33"/>
  <c r="I14" i="33"/>
  <c r="O14" i="33"/>
  <c r="N14" i="33"/>
  <c r="P14" i="33"/>
  <c r="J14" i="33"/>
  <c r="K13" i="35"/>
  <c r="N13" i="35"/>
  <c r="P13" i="35"/>
  <c r="L13" i="35"/>
  <c r="J13" i="35"/>
  <c r="M13" i="35"/>
  <c r="O13" i="35"/>
  <c r="T13" i="35"/>
  <c r="V13" i="35"/>
  <c r="X13" i="35"/>
  <c r="W13" i="35"/>
  <c r="U13" i="35"/>
  <c r="S13" i="35"/>
  <c r="Q13" i="35"/>
</calcChain>
</file>

<file path=xl/sharedStrings.xml><?xml version="1.0" encoding="utf-8"?>
<sst xmlns="http://schemas.openxmlformats.org/spreadsheetml/2006/main" count="778" uniqueCount="117">
  <si>
    <t>Enter LoRaWAN String Below for Analysis</t>
  </si>
  <si>
    <t>00006D041301FFE501200000000000080000</t>
  </si>
  <si>
    <t>Start</t>
  </si>
  <si>
    <t>Count</t>
  </si>
  <si>
    <t>HEX VALUE</t>
  </si>
  <si>
    <t>DEC / BIN</t>
  </si>
  <si>
    <t>Transmitter ID</t>
  </si>
  <si>
    <t>4 = Ambient T&amp;H Sensor</t>
  </si>
  <si>
    <t>Sequential Counter</t>
  </si>
  <si>
    <t>F/W (bits 3-0),  Settings (bits 7-4)</t>
  </si>
  <si>
    <t>Temperature</t>
  </si>
  <si>
    <t>Humidity</t>
  </si>
  <si>
    <t>VOC</t>
  </si>
  <si>
    <t>CO2</t>
  </si>
  <si>
    <t>Alarm Status</t>
  </si>
  <si>
    <t>Status</t>
  </si>
  <si>
    <t>Bits 3-2 for battery level
Battery Level
00 for 100%
01 for 75%
10 for 50%
11 for 25%</t>
  </si>
  <si>
    <t>Below is used to construct the message to re-configure transmitter via the LoRaWAN network</t>
  </si>
  <si>
    <t>Generic Field Names</t>
  </si>
  <si>
    <t>Transmitter Specific Fields 
(only change those in Green)</t>
  </si>
  <si>
    <t>Hex</t>
  </si>
  <si>
    <t>Copy String Below and use to send on LoRaWAN network</t>
  </si>
  <si>
    <t>Fixed</t>
  </si>
  <si>
    <t>Fixed (0)</t>
  </si>
  <si>
    <t>Installation Packet = 3</t>
  </si>
  <si>
    <t>Fixed (3)</t>
  </si>
  <si>
    <t>RE-Tx Time (secs)</t>
  </si>
  <si>
    <t>Periodicity (mins)</t>
  </si>
  <si>
    <t>Enter 1 or 0</t>
  </si>
  <si>
    <t>TWU (hrs)</t>
  </si>
  <si>
    <t xml:space="preserve">P1 </t>
  </si>
  <si>
    <t>Hi Temp Alarm (degC)</t>
  </si>
  <si>
    <t xml:space="preserve">P2 </t>
  </si>
  <si>
    <t>Lo Temp Alarm (degC)</t>
  </si>
  <si>
    <t xml:space="preserve">P3 </t>
  </si>
  <si>
    <t>Hi Hum Alarm (%)</t>
  </si>
  <si>
    <t xml:space="preserve">P4 </t>
  </si>
  <si>
    <t>Lo Hum Alarm (%)</t>
  </si>
  <si>
    <t xml:space="preserve">P5 </t>
  </si>
  <si>
    <t xml:space="preserve">P6 </t>
  </si>
  <si>
    <t xml:space="preserve">P7 </t>
  </si>
  <si>
    <t xml:space="preserve">P8 </t>
  </si>
  <si>
    <t xml:space="preserve">P9 </t>
  </si>
  <si>
    <t>P10</t>
  </si>
  <si>
    <t>P11</t>
  </si>
  <si>
    <t>P12</t>
  </si>
  <si>
    <t>Fixed (1)</t>
  </si>
  <si>
    <t>00007705110100E3011F0014000000280000</t>
  </si>
  <si>
    <t>5 = Ambient T&amp;H / VOC Sensor</t>
  </si>
  <si>
    <t>VOC Hi Alarm (ppb)</t>
  </si>
  <si>
    <t>VOC Lo Alarm (ppb)</t>
  </si>
  <si>
    <t>6 = Ambient T&amp;H / VOC / CO2 Sensor</t>
  </si>
  <si>
    <t>CO2 Hi Alarm (ppm)</t>
  </si>
  <si>
    <t>CO2 Lo Alarm (ppm)</t>
  </si>
  <si>
    <t>00008A07070100CD000000020000</t>
  </si>
  <si>
    <t>7 = Temp Ins</t>
  </si>
  <si>
    <t>Temperature 2</t>
  </si>
  <si>
    <t>000095080C0100000020000000170000001E00000000</t>
  </si>
  <si>
    <t>8 = Tx Pulse</t>
  </si>
  <si>
    <t>Pulse Ch1</t>
  </si>
  <si>
    <t>Pulse Ch2</t>
  </si>
  <si>
    <t>Pulse OC</t>
  </si>
  <si>
    <t>Input 1 Flow Hi</t>
  </si>
  <si>
    <t>Input 1 Flow Lo</t>
  </si>
  <si>
    <t>Input 1 Flow Time  (Hrs)</t>
  </si>
  <si>
    <t>Input 1 Leak Threshold</t>
  </si>
  <si>
    <t>Input 2 Flow Hi</t>
  </si>
  <si>
    <t>Input 2 Flow Lo</t>
  </si>
  <si>
    <t>Input 2 Flow Time  (Hrs)</t>
  </si>
  <si>
    <t>Input 2 Leak Threshold</t>
  </si>
  <si>
    <t>OC Flow Hi</t>
  </si>
  <si>
    <t>OC Flow Lo</t>
  </si>
  <si>
    <t>OC Flow Time  (Hrs)</t>
  </si>
  <si>
    <t>OC Leak Threshold</t>
  </si>
  <si>
    <t>Below is used to construct the message to re-configure transmitter pulse debounce settings via LoRaWAN</t>
  </si>
  <si>
    <t>Copy String Below and use it to send on LoRaWAN network</t>
  </si>
  <si>
    <t>Fixed(0)</t>
  </si>
  <si>
    <t>Pulse debounce installation packet =18</t>
  </si>
  <si>
    <t>Byte count</t>
  </si>
  <si>
    <t>Number of data bytes</t>
  </si>
  <si>
    <t>transmitter type</t>
  </si>
  <si>
    <t>PD1</t>
  </si>
  <si>
    <t>Channel 1 pulse debounce count</t>
  </si>
  <si>
    <t>PD2</t>
  </si>
  <si>
    <t>Channel2 pulse debounce count</t>
  </si>
  <si>
    <t>PD3</t>
  </si>
  <si>
    <t>OC pulse debounce count</t>
  </si>
  <si>
    <t>Extra</t>
  </si>
  <si>
    <t>Fixed(1)</t>
  </si>
  <si>
    <t>0000A0090D01000000120000001A0000001800000000</t>
  </si>
  <si>
    <t>9 = Tx Pulse Atex</t>
  </si>
  <si>
    <t>0000AA0A0D0100000000000000000000000A00000060</t>
  </si>
  <si>
    <t>10 = Tx Pulse LED</t>
  </si>
  <si>
    <t>0000B40B0E0100000018000000280000005600040001</t>
  </si>
  <si>
    <t>11 = Tx Contact</t>
  </si>
  <si>
    <t>Input 1 delay before Tx (secs)</t>
  </si>
  <si>
    <t>Input 2 delay before Tx (secs)</t>
  </si>
  <si>
    <t>0000BD0C0A0100CE00CA00010000</t>
  </si>
  <si>
    <t>12 = Tx Temp Cont2</t>
  </si>
  <si>
    <t>Hi Temp Ch1 Alarm (degC)</t>
  </si>
  <si>
    <t>Lo Temp Ch1  Alarm (degC)</t>
  </si>
  <si>
    <t>Hi Temp Ch2 Alarm (degC)</t>
  </si>
  <si>
    <t>Lo Temp Ch2  Alarm (degC)</t>
  </si>
  <si>
    <t>0000C70D0A01000200020000</t>
  </si>
  <si>
    <t>13= 4-20mA Tx</t>
  </si>
  <si>
    <t>4-20mA Value</t>
  </si>
  <si>
    <t>4-20 Hi Alarm</t>
  </si>
  <si>
    <t>4-20 Lo Alarm</t>
  </si>
  <si>
    <t>Loop Power (msecs)</t>
  </si>
  <si>
    <t>0000D10E0A0100CA018200010000</t>
  </si>
  <si>
    <t>14 = External Tx T&amp;H Sensor</t>
  </si>
  <si>
    <t>0000DC0F0A0100D0000000000000</t>
  </si>
  <si>
    <t>15 = TxTemp Cont1</t>
  </si>
  <si>
    <t>Fixed(22)</t>
  </si>
  <si>
    <t>Configured Tx type</t>
  </si>
  <si>
    <t>This is currently not being checked</t>
  </si>
  <si>
    <t>0029790606097fffffff0006ffff00000000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</si>
</sst>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rgb="FF008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E26B0A"/>
      <name val="Calibri"/>
      <family val="2"/>
    </font>
    <font>
      <sz val="14"/>
      <color rgb="FF008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rgb="FF000000"/>
      <name val="Calibri"/>
      <family val="2"/>
    </font>
    <font>
      <sz val="11"/>
      <color rgb="FFFFC000"/>
      <name val="Calibri"/>
      <family val="2"/>
      <scheme val="minor"/>
    </font>
    <font>
      <b/>
      <sz val="11"/>
      <color rgb="FF70AD47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0B4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2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4">
    <xf numFmtId="0" fontId="0" fillId="0" borderId="0" xfId="0"/>
    <xf numFmtId="49" fontId="0" fillId="0" borderId="0" xfId="0" applyNumberFormat="1" applyAlignment="1">
      <alignment horizontal="center"/>
    </xf>
    <xf numFmtId="0" fontId="1" fillId="0" borderId="0" xfId="0" applyFo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7" xfId="0" applyBorder="1"/>
    <xf numFmtId="0" fontId="0" fillId="0" borderId="8" xfId="0" applyBorder="1"/>
    <xf numFmtId="49" fontId="0" fillId="0" borderId="8" xfId="0" applyNumberFormat="1" applyBorder="1" applyAlignment="1">
      <alignment horizontal="center"/>
    </xf>
    <xf numFmtId="0" fontId="0" fillId="0" borderId="9" xfId="0" applyBorder="1"/>
    <xf numFmtId="0" fontId="9" fillId="0" borderId="0" xfId="0" applyFont="1"/>
    <xf numFmtId="0" fontId="0" fillId="0" borderId="11" xfId="0" applyBorder="1"/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0" fillId="0" borderId="0" xfId="0" quotePrefix="1" applyNumberFormat="1" applyAlignment="1">
      <alignment horizontal="left"/>
    </xf>
    <xf numFmtId="0" fontId="0" fillId="0" borderId="10" xfId="0" applyBorder="1"/>
    <xf numFmtId="0" fontId="0" fillId="0" borderId="12" xfId="0" applyBorder="1"/>
    <xf numFmtId="0" fontId="0" fillId="0" borderId="13" xfId="0" applyBorder="1"/>
    <xf numFmtId="49" fontId="0" fillId="0" borderId="13" xfId="0" applyNumberFormat="1" applyBorder="1" applyAlignment="1">
      <alignment horizontal="center"/>
    </xf>
    <xf numFmtId="0" fontId="0" fillId="0" borderId="14" xfId="0" applyBorder="1"/>
    <xf numFmtId="0" fontId="14" fillId="0" borderId="0" xfId="0" applyFont="1" applyAlignment="1">
      <alignment horizontal="center"/>
    </xf>
    <xf numFmtId="164" fontId="14" fillId="0" borderId="0" xfId="0" applyNumberFormat="1" applyFont="1" applyAlignment="1">
      <alignment horizontal="center"/>
    </xf>
    <xf numFmtId="0" fontId="9" fillId="0" borderId="8" xfId="0" applyFont="1" applyBorder="1"/>
    <xf numFmtId="0" fontId="6" fillId="0" borderId="11" xfId="0" applyFont="1" applyBorder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quotePrefix="1" applyAlignment="1">
      <alignment horizontal="center"/>
    </xf>
    <xf numFmtId="164" fontId="1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0" fillId="0" borderId="25" xfId="0" applyBorder="1"/>
    <xf numFmtId="0" fontId="14" fillId="0" borderId="0" xfId="0" applyFont="1"/>
    <xf numFmtId="0" fontId="19" fillId="0" borderId="0" xfId="0" applyFont="1" applyAlignment="1">
      <alignment horizontal="center"/>
    </xf>
    <xf numFmtId="49" fontId="0" fillId="0" borderId="10" xfId="0" applyNumberFormat="1" applyBorder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20" fillId="0" borderId="0" xfId="0" applyFont="1"/>
    <xf numFmtId="0" fontId="21" fillId="0" borderId="0" xfId="0" applyFont="1"/>
    <xf numFmtId="49" fontId="0" fillId="0" borderId="10" xfId="0" applyNumberFormat="1" applyBorder="1" applyAlignment="1">
      <alignment horizontal="left"/>
    </xf>
    <xf numFmtId="0" fontId="0" fillId="0" borderId="0" xfId="0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8" xfId="0" applyFont="1" applyBorder="1"/>
    <xf numFmtId="0" fontId="9" fillId="0" borderId="9" xfId="0" applyFont="1" applyBorder="1"/>
    <xf numFmtId="0" fontId="0" fillId="0" borderId="11" xfId="0" applyBorder="1"/>
    <xf numFmtId="0" fontId="13" fillId="0" borderId="8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49" fontId="0" fillId="0" borderId="0" xfId="0" quotePrefix="1" applyNumberFormat="1" applyAlignment="1">
      <alignment horizontal="center"/>
    </xf>
    <xf numFmtId="0" fontId="0" fillId="0" borderId="10" xfId="0" applyBorder="1" applyAlignment="1">
      <alignment horizontal="left"/>
    </xf>
    <xf numFmtId="49" fontId="0" fillId="0" borderId="10" xfId="0" quotePrefix="1" applyNumberForma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0" xfId="0" applyFont="1" applyAlignment="1">
      <alignment horizontal="left"/>
    </xf>
    <xf numFmtId="49" fontId="12" fillId="2" borderId="10" xfId="0" applyNumberFormat="1" applyFont="1" applyFill="1" applyBorder="1" applyAlignment="1">
      <alignment horizontal="left"/>
    </xf>
    <xf numFmtId="0" fontId="12" fillId="2" borderId="0" xfId="0" applyFont="1" applyFill="1"/>
    <xf numFmtId="0" fontId="12" fillId="0" borderId="0" xfId="0" applyFont="1"/>
    <xf numFmtId="0" fontId="13" fillId="0" borderId="7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5" fillId="3" borderId="15" xfId="0" applyFont="1" applyFill="1" applyBorder="1" applyAlignment="1">
      <alignment horizontal="center"/>
    </xf>
    <xf numFmtId="0" fontId="15" fillId="3" borderId="16" xfId="0" applyFont="1" applyFill="1" applyBorder="1" applyAlignment="1">
      <alignment horizontal="center"/>
    </xf>
    <xf numFmtId="0" fontId="15" fillId="3" borderId="17" xfId="0" applyFont="1" applyFill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49" fontId="9" fillId="2" borderId="10" xfId="0" applyNumberFormat="1" applyFont="1" applyFill="1" applyBorder="1" applyAlignment="1">
      <alignment horizontal="left"/>
    </xf>
    <xf numFmtId="0" fontId="9" fillId="2" borderId="0" xfId="0" applyFont="1" applyFill="1"/>
    <xf numFmtId="0" fontId="9" fillId="0" borderId="0" xfId="0" applyFont="1"/>
    <xf numFmtId="49" fontId="0" fillId="0" borderId="0" xfId="0" applyNumberFormat="1" applyAlignment="1">
      <alignment horizontal="center"/>
    </xf>
    <xf numFmtId="49" fontId="0" fillId="0" borderId="24" xfId="0" applyNumberFormat="1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7" fillId="4" borderId="26" xfId="0" applyFont="1" applyFill="1" applyBorder="1" applyAlignment="1">
      <alignment horizontal="center"/>
    </xf>
    <xf numFmtId="0" fontId="17" fillId="4" borderId="27" xfId="0" applyFont="1" applyFill="1" applyBorder="1" applyAlignment="1">
      <alignment horizontal="center"/>
    </xf>
    <xf numFmtId="0" fontId="17" fillId="4" borderId="28" xfId="0" applyFont="1" applyFill="1" applyBorder="1" applyAlignment="1">
      <alignment horizontal="center"/>
    </xf>
    <xf numFmtId="49" fontId="16" fillId="0" borderId="19" xfId="0" applyNumberFormat="1" applyFont="1" applyBorder="1" applyAlignment="1">
      <alignment horizontal="center" wrapText="1"/>
    </xf>
    <xf numFmtId="49" fontId="18" fillId="0" borderId="0" xfId="0" applyNumberFormat="1" applyFont="1" applyAlignment="1">
      <alignment horizontal="center"/>
    </xf>
    <xf numFmtId="0" fontId="16" fillId="0" borderId="19" xfId="0" applyFont="1" applyBorder="1" applyAlignment="1">
      <alignment horizontal="center" wrapText="1"/>
    </xf>
    <xf numFmtId="0" fontId="16" fillId="0" borderId="20" xfId="0" applyFont="1" applyBorder="1" applyAlignment="1">
      <alignment horizontal="center" wrapText="1"/>
    </xf>
    <xf numFmtId="0" fontId="12" fillId="2" borderId="0" xfId="0" applyFont="1" applyFill="1" applyAlignment="1">
      <alignment horizontal="center"/>
    </xf>
    <xf numFmtId="0" fontId="12" fillId="2" borderId="22" xfId="0" applyFont="1" applyFill="1" applyBorder="1" applyAlignment="1">
      <alignment horizontal="center"/>
    </xf>
    <xf numFmtId="0" fontId="22" fillId="0" borderId="0" xfId="0" applyFont="1" applyAlignment="1">
      <alignment horizontal="center"/>
    </xf>
  </cellXfs>
  <cellStyles count="221">
    <cellStyle name="Lien hypertexte" xfId="141" builtinId="8" hidden="1"/>
    <cellStyle name="Lien hypertexte" xfId="3" builtinId="8" hidden="1"/>
    <cellStyle name="Lien hypertexte" xfId="155" builtinId="8" hidden="1"/>
    <cellStyle name="Lien hypertexte" xfId="149" builtinId="8" hidden="1"/>
    <cellStyle name="Lien hypertexte" xfId="219" builtinId="8" hidden="1"/>
    <cellStyle name="Lien hypertexte" xfId="21" builtinId="8" hidden="1"/>
    <cellStyle name="Lien hypertexte" xfId="71" builtinId="8" hidden="1"/>
    <cellStyle name="Lien hypertexte" xfId="137" builtinId="8" hidden="1"/>
    <cellStyle name="Lien hypertexte" xfId="17" builtinId="8" hidden="1"/>
    <cellStyle name="Lien hypertexte" xfId="93" builtinId="8" hidden="1"/>
    <cellStyle name="Lien hypertexte" xfId="159" builtinId="8" hidden="1"/>
    <cellStyle name="Lien hypertexte" xfId="23" builtinId="8" hidden="1"/>
    <cellStyle name="Lien hypertexte" xfId="139" builtinId="8" hidden="1"/>
    <cellStyle name="Lien hypertexte" xfId="191" builtinId="8" hidden="1"/>
    <cellStyle name="Lien hypertexte" xfId="39" builtinId="8" hidden="1"/>
    <cellStyle name="Lien hypertexte" xfId="25" builtinId="8" hidden="1"/>
    <cellStyle name="Lien hypertexte" xfId="135" builtinId="8" hidden="1"/>
    <cellStyle name="Lien hypertexte" xfId="55" builtinId="8" hidden="1"/>
    <cellStyle name="Lien hypertexte" xfId="205" builtinId="8" hidden="1"/>
    <cellStyle name="Lien hypertexte" xfId="107" builtinId="8" hidden="1"/>
    <cellStyle name="Lien hypertexte" xfId="13" builtinId="8" hidden="1"/>
    <cellStyle name="Lien hypertexte" xfId="5" builtinId="8" hidden="1"/>
    <cellStyle name="Lien hypertexte" xfId="145" builtinId="8" hidden="1"/>
    <cellStyle name="Lien hypertexte" xfId="209" builtinId="8" hidden="1"/>
    <cellStyle name="Lien hypertexte" xfId="49" builtinId="8" hidden="1"/>
    <cellStyle name="Lien hypertexte" xfId="179" builtinId="8" hidden="1"/>
    <cellStyle name="Lien hypertexte" xfId="41" builtinId="8" hidden="1"/>
    <cellStyle name="Lien hypertexte" xfId="161" builtinId="8" hidden="1"/>
    <cellStyle name="Lien hypertexte" xfId="143" builtinId="8" hidden="1"/>
    <cellStyle name="Lien hypertexte" xfId="75" builtinId="8" hidden="1"/>
    <cellStyle name="Lien hypertexte" xfId="51" builtinId="8" hidden="1"/>
    <cellStyle name="Lien hypertexte" xfId="189" builtinId="8" hidden="1"/>
    <cellStyle name="Lien hypertexte" xfId="175" builtinId="8" hidden="1"/>
    <cellStyle name="Lien hypertexte" xfId="97" builtinId="8" hidden="1"/>
    <cellStyle name="Lien hypertexte" xfId="185" builtinId="8" hidden="1"/>
    <cellStyle name="Lien hypertexte" xfId="113" builtinId="8" hidden="1"/>
    <cellStyle name="Lien hypertexte" xfId="169" builtinId="8" hidden="1"/>
    <cellStyle name="Lien hypertexte" xfId="81" builtinId="8" hidden="1"/>
    <cellStyle name="Lien hypertexte" xfId="125" builtinId="8" hidden="1"/>
    <cellStyle name="Lien hypertexte" xfId="165" builtinId="8" hidden="1"/>
    <cellStyle name="Lien hypertexte" xfId="37" builtinId="8" hidden="1"/>
    <cellStyle name="Lien hypertexte" xfId="187" builtinId="8" hidden="1"/>
    <cellStyle name="Lien hypertexte" xfId="85" builtinId="8" hidden="1"/>
    <cellStyle name="Lien hypertexte" xfId="119" builtinId="8" hidden="1"/>
    <cellStyle name="Lien hypertexte" xfId="89" builtinId="8" hidden="1"/>
    <cellStyle name="Lien hypertexte" xfId="9" builtinId="8" hidden="1"/>
    <cellStyle name="Lien hypertexte" xfId="123" builtinId="8" hidden="1"/>
    <cellStyle name="Lien hypertexte" xfId="77" builtinId="8" hidden="1"/>
    <cellStyle name="Lien hypertexte" xfId="215" builtinId="8" hidden="1"/>
    <cellStyle name="Lien hypertexte" xfId="63" builtinId="8" hidden="1"/>
    <cellStyle name="Lien hypertexte" xfId="101" builtinId="8" hidden="1"/>
    <cellStyle name="Lien hypertexte" xfId="103" builtinId="8" hidden="1"/>
    <cellStyle name="Lien hypertexte" xfId="79" builtinId="8" hidden="1"/>
    <cellStyle name="Lien hypertexte" xfId="73" builtinId="8" hidden="1"/>
    <cellStyle name="Lien hypertexte" xfId="177" builtinId="8" hidden="1"/>
    <cellStyle name="Lien hypertexte" xfId="1" builtinId="8" hidden="1"/>
    <cellStyle name="Lien hypertexte" xfId="127" builtinId="8" hidden="1"/>
    <cellStyle name="Lien hypertexte" xfId="193" builtinId="8" hidden="1"/>
    <cellStyle name="Lien hypertexte" xfId="117" builtinId="8" hidden="1"/>
    <cellStyle name="Lien hypertexte" xfId="59" builtinId="8" hidden="1"/>
    <cellStyle name="Lien hypertexte" xfId="121" builtinId="8" hidden="1"/>
    <cellStyle name="Lien hypertexte" xfId="213" builtinId="8" hidden="1"/>
    <cellStyle name="Lien hypertexte" xfId="35" builtinId="8" hidden="1"/>
    <cellStyle name="Lien hypertexte" xfId="83" builtinId="8" hidden="1"/>
    <cellStyle name="Lien hypertexte" xfId="129" builtinId="8" hidden="1"/>
    <cellStyle name="Lien hypertexte" xfId="61" builtinId="8" hidden="1"/>
    <cellStyle name="Lien hypertexte" xfId="47" builtinId="8" hidden="1"/>
    <cellStyle name="Lien hypertexte" xfId="33" builtinId="8" hidden="1"/>
    <cellStyle name="Lien hypertexte" xfId="151" builtinId="8" hidden="1"/>
    <cellStyle name="Lien hypertexte" xfId="131" builtinId="8" hidden="1"/>
    <cellStyle name="Lien hypertexte" xfId="99" builtinId="8" hidden="1"/>
    <cellStyle name="Lien hypertexte" xfId="57" builtinId="8" hidden="1"/>
    <cellStyle name="Lien hypertexte" xfId="171" builtinId="8" hidden="1"/>
    <cellStyle name="Lien hypertexte" xfId="11" builtinId="8" hidden="1"/>
    <cellStyle name="Lien hypertexte" xfId="53" builtinId="8" hidden="1"/>
    <cellStyle name="Lien hypertexte" xfId="157" builtinId="8" hidden="1"/>
    <cellStyle name="Lien hypertexte" xfId="115" builtinId="8" hidden="1"/>
    <cellStyle name="Lien hypertexte" xfId="105" builtinId="8" hidden="1"/>
    <cellStyle name="Lien hypertexte" xfId="195" builtinId="8" hidden="1"/>
    <cellStyle name="Lien hypertexte" xfId="67" builtinId="8" hidden="1"/>
    <cellStyle name="Lien hypertexte" xfId="15" builtinId="8" hidden="1"/>
    <cellStyle name="Lien hypertexte" xfId="163" builtinId="8" hidden="1"/>
    <cellStyle name="Lien hypertexte" xfId="203" builtinId="8" hidden="1"/>
    <cellStyle name="Lien hypertexte" xfId="19" builtinId="8" hidden="1"/>
    <cellStyle name="Lien hypertexte" xfId="153" builtinId="8" hidden="1"/>
    <cellStyle name="Lien hypertexte" xfId="87" builtinId="8" hidden="1"/>
    <cellStyle name="Lien hypertexte" xfId="173" builtinId="8" hidden="1"/>
    <cellStyle name="Lien hypertexte" xfId="65" builtinId="8" hidden="1"/>
    <cellStyle name="Lien hypertexte" xfId="199" builtinId="8" hidden="1"/>
    <cellStyle name="Lien hypertexte" xfId="167" builtinId="8" hidden="1"/>
    <cellStyle name="Lien hypertexte" xfId="181" builtinId="8" hidden="1"/>
    <cellStyle name="Lien hypertexte" xfId="31" builtinId="8" hidden="1"/>
    <cellStyle name="Lien hypertexte" xfId="69" builtinId="8" hidden="1"/>
    <cellStyle name="Lien hypertexte" xfId="197" builtinId="8" hidden="1"/>
    <cellStyle name="Lien hypertexte" xfId="183" builtinId="8" hidden="1"/>
    <cellStyle name="Lien hypertexte" xfId="27" builtinId="8" hidden="1"/>
    <cellStyle name="Lien hypertexte" xfId="133" builtinId="8" hidden="1"/>
    <cellStyle name="Lien hypertexte" xfId="95" builtinId="8" hidden="1"/>
    <cellStyle name="Lien hypertexte" xfId="7" builtinId="8" hidden="1"/>
    <cellStyle name="Lien hypertexte" xfId="207" builtinId="8" hidden="1"/>
    <cellStyle name="Lien hypertexte" xfId="45" builtinId="8" hidden="1"/>
    <cellStyle name="Lien hypertexte" xfId="91" builtinId="8" hidden="1"/>
    <cellStyle name="Lien hypertexte" xfId="201" builtinId="8" hidden="1"/>
    <cellStyle name="Lien hypertexte" xfId="147" builtinId="8" hidden="1"/>
    <cellStyle name="Lien hypertexte" xfId="29" builtinId="8" hidden="1"/>
    <cellStyle name="Lien hypertexte" xfId="211" builtinId="8" hidden="1"/>
    <cellStyle name="Lien hypertexte" xfId="43" builtinId="8" hidden="1"/>
    <cellStyle name="Lien hypertexte" xfId="109" builtinId="8" hidden="1"/>
    <cellStyle name="Lien hypertexte" xfId="217" builtinId="8" hidden="1"/>
    <cellStyle name="Lien hypertexte" xfId="111" builtinId="8" hidden="1"/>
    <cellStyle name="Lien hypertexte visité" xfId="14" builtinId="9" hidden="1"/>
    <cellStyle name="Lien hypertexte visité" xfId="112" builtinId="9" hidden="1"/>
    <cellStyle name="Lien hypertexte visité" xfId="128" builtinId="9" hidden="1"/>
    <cellStyle name="Lien hypertexte visité" xfId="110" builtinId="9" hidden="1"/>
    <cellStyle name="Lien hypertexte visité" xfId="94" builtinId="9" hidden="1"/>
    <cellStyle name="Lien hypertexte visité" xfId="130" builtinId="9" hidden="1"/>
    <cellStyle name="Lien hypertexte visité" xfId="26" builtinId="9" hidden="1"/>
    <cellStyle name="Lien hypertexte visité" xfId="114" builtinId="9" hidden="1"/>
    <cellStyle name="Lien hypertexte visité" xfId="204" builtinId="9" hidden="1"/>
    <cellStyle name="Lien hypertexte visité" xfId="188" builtinId="9" hidden="1"/>
    <cellStyle name="Lien hypertexte visité" xfId="46" builtinId="9" hidden="1"/>
    <cellStyle name="Lien hypertexte visité" xfId="144" builtinId="9" hidden="1"/>
    <cellStyle name="Lien hypertexte visité" xfId="136" builtinId="9" hidden="1"/>
    <cellStyle name="Lien hypertexte visité" xfId="196" builtinId="9" hidden="1"/>
    <cellStyle name="Lien hypertexte visité" xfId="82" builtinId="9" hidden="1"/>
    <cellStyle name="Lien hypertexte visité" xfId="84" builtinId="9" hidden="1"/>
    <cellStyle name="Lien hypertexte visité" xfId="102" builtinId="9" hidden="1"/>
    <cellStyle name="Lien hypertexte visité" xfId="162" builtinId="9" hidden="1"/>
    <cellStyle name="Lien hypertexte visité" xfId="186" builtinId="9" hidden="1"/>
    <cellStyle name="Lien hypertexte visité" xfId="54" builtinId="9" hidden="1"/>
    <cellStyle name="Lien hypertexte visité" xfId="178" builtinId="9" hidden="1"/>
    <cellStyle name="Lien hypertexte visité" xfId="56" builtinId="9" hidden="1"/>
    <cellStyle name="Lien hypertexte visité" xfId="86" builtinId="9" hidden="1"/>
    <cellStyle name="Lien hypertexte visité" xfId="168" builtinId="9" hidden="1"/>
    <cellStyle name="Lien hypertexte visité" xfId="202" builtinId="9" hidden="1"/>
    <cellStyle name="Lien hypertexte visité" xfId="22" builtinId="9" hidden="1"/>
    <cellStyle name="Lien hypertexte visité" xfId="18" builtinId="9" hidden="1"/>
    <cellStyle name="Lien hypertexte visité" xfId="180" builtinId="9" hidden="1"/>
    <cellStyle name="Lien hypertexte visité" xfId="68" builtinId="9" hidden="1"/>
    <cellStyle name="Lien hypertexte visité" xfId="220" builtinId="9" hidden="1"/>
    <cellStyle name="Lien hypertexte visité" xfId="218" builtinId="9" hidden="1"/>
    <cellStyle name="Lien hypertexte visité" xfId="72" builtinId="9" hidden="1"/>
    <cellStyle name="Lien hypertexte visité" xfId="16" builtinId="9" hidden="1"/>
    <cellStyle name="Lien hypertexte visité" xfId="92" builtinId="9" hidden="1"/>
    <cellStyle name="Lien hypertexte visité" xfId="30" builtinId="9" hidden="1"/>
    <cellStyle name="Lien hypertexte visité" xfId="154" builtinId="9" hidden="1"/>
    <cellStyle name="Lien hypertexte visité" xfId="48" builtinId="9" hidden="1"/>
    <cellStyle name="Lien hypertexte visité" xfId="122" builtinId="9" hidden="1"/>
    <cellStyle name="Lien hypertexte visité" xfId="74" builtinId="9" hidden="1"/>
    <cellStyle name="Lien hypertexte visité" xfId="158" builtinId="9" hidden="1"/>
    <cellStyle name="Lien hypertexte visité" xfId="164" builtinId="9" hidden="1"/>
    <cellStyle name="Lien hypertexte visité" xfId="190" builtinId="9" hidden="1"/>
    <cellStyle name="Lien hypertexte visité" xfId="34" builtinId="9" hidden="1"/>
    <cellStyle name="Lien hypertexte visité" xfId="118" builtinId="9" hidden="1"/>
    <cellStyle name="Lien hypertexte visité" xfId="42" builtinId="9" hidden="1"/>
    <cellStyle name="Lien hypertexte visité" xfId="116" builtinId="9" hidden="1"/>
    <cellStyle name="Lien hypertexte visité" xfId="8" builtinId="9" hidden="1"/>
    <cellStyle name="Lien hypertexte visité" xfId="150" builtinId="9" hidden="1"/>
    <cellStyle name="Lien hypertexte visité" xfId="184" builtinId="9" hidden="1"/>
    <cellStyle name="Lien hypertexte visité" xfId="12" builtinId="9" hidden="1"/>
    <cellStyle name="Lien hypertexte visité" xfId="98" builtinId="9" hidden="1"/>
    <cellStyle name="Lien hypertexte visité" xfId="64" builtinId="9" hidden="1"/>
    <cellStyle name="Lien hypertexte visité" xfId="120" builtinId="9" hidden="1"/>
    <cellStyle name="Lien hypertexte visité" xfId="156" builtinId="9" hidden="1"/>
    <cellStyle name="Lien hypertexte visité" xfId="170" builtinId="9" hidden="1"/>
    <cellStyle name="Lien hypertexte visité" xfId="90" builtinId="9" hidden="1"/>
    <cellStyle name="Lien hypertexte visité" xfId="44" builtinId="9" hidden="1"/>
    <cellStyle name="Lien hypertexte visité" xfId="106" builtinId="9" hidden="1"/>
    <cellStyle name="Lien hypertexte visité" xfId="76" builtinId="9" hidden="1"/>
    <cellStyle name="Lien hypertexte visité" xfId="38" builtinId="9" hidden="1"/>
    <cellStyle name="Lien hypertexte visité" xfId="20" builtinId="9" hidden="1"/>
    <cellStyle name="Lien hypertexte visité" xfId="214" builtinId="9" hidden="1"/>
    <cellStyle name="Lien hypertexte visité" xfId="126" builtinId="9" hidden="1"/>
    <cellStyle name="Lien hypertexte visité" xfId="210" builtinId="9" hidden="1"/>
    <cellStyle name="Lien hypertexte visité" xfId="6" builtinId="9" hidden="1"/>
    <cellStyle name="Lien hypertexte visité" xfId="174" builtinId="9" hidden="1"/>
    <cellStyle name="Lien hypertexte visité" xfId="104" builtinId="9" hidden="1"/>
    <cellStyle name="Lien hypertexte visité" xfId="28" builtinId="9" hidden="1"/>
    <cellStyle name="Lien hypertexte visité" xfId="140" builtinId="9" hidden="1"/>
    <cellStyle name="Lien hypertexte visité" xfId="60" builtinId="9" hidden="1"/>
    <cellStyle name="Lien hypertexte visité" xfId="216" builtinId="9" hidden="1"/>
    <cellStyle name="Lien hypertexte visité" xfId="172" builtinId="9" hidden="1"/>
    <cellStyle name="Lien hypertexte visité" xfId="166" builtinId="9" hidden="1"/>
    <cellStyle name="Lien hypertexte visité" xfId="50" builtinId="9" hidden="1"/>
    <cellStyle name="Lien hypertexte visité" xfId="152" builtinId="9" hidden="1"/>
    <cellStyle name="Lien hypertexte visité" xfId="176" builtinId="9" hidden="1"/>
    <cellStyle name="Lien hypertexte visité" xfId="198" builtinId="9" hidden="1"/>
    <cellStyle name="Lien hypertexte visité" xfId="206" builtinId="9" hidden="1"/>
    <cellStyle name="Lien hypertexte visité" xfId="40" builtinId="9" hidden="1"/>
    <cellStyle name="Lien hypertexte visité" xfId="36" builtinId="9" hidden="1"/>
    <cellStyle name="Lien hypertexte visité" xfId="66" builtinId="9" hidden="1"/>
    <cellStyle name="Lien hypertexte visité" xfId="10" builtinId="9" hidden="1"/>
    <cellStyle name="Lien hypertexte visité" xfId="138" builtinId="9" hidden="1"/>
    <cellStyle name="Lien hypertexte visité" xfId="108" builtinId="9" hidden="1"/>
    <cellStyle name="Lien hypertexte visité" xfId="192" builtinId="9" hidden="1"/>
    <cellStyle name="Lien hypertexte visité" xfId="100" builtinId="9" hidden="1"/>
    <cellStyle name="Lien hypertexte visité" xfId="182" builtinId="9" hidden="1"/>
    <cellStyle name="Lien hypertexte visité" xfId="52" builtinId="9" hidden="1"/>
    <cellStyle name="Lien hypertexte visité" xfId="88" builtinId="9" hidden="1"/>
    <cellStyle name="Lien hypertexte visité" xfId="200" builtinId="9" hidden="1"/>
    <cellStyle name="Lien hypertexte visité" xfId="58" builtinId="9" hidden="1"/>
    <cellStyle name="Lien hypertexte visité" xfId="2" builtinId="9" hidden="1"/>
    <cellStyle name="Lien hypertexte visité" xfId="78" builtinId="9" hidden="1"/>
    <cellStyle name="Lien hypertexte visité" xfId="4" builtinId="9" hidden="1"/>
    <cellStyle name="Lien hypertexte visité" xfId="80" builtinId="9" hidden="1"/>
    <cellStyle name="Lien hypertexte visité" xfId="208" builtinId="9" hidden="1"/>
    <cellStyle name="Lien hypertexte visité" xfId="146" builtinId="9" hidden="1"/>
    <cellStyle name="Lien hypertexte visité" xfId="96" builtinId="9" hidden="1"/>
    <cellStyle name="Lien hypertexte visité" xfId="148" builtinId="9" hidden="1"/>
    <cellStyle name="Lien hypertexte visité" xfId="194" builtinId="9" hidden="1"/>
    <cellStyle name="Lien hypertexte visité" xfId="142" builtinId="9" hidden="1"/>
    <cellStyle name="Lien hypertexte visité" xfId="124" builtinId="9" hidden="1"/>
    <cellStyle name="Lien hypertexte visité" xfId="132" builtinId="9" hidden="1"/>
    <cellStyle name="Lien hypertexte visité" xfId="70" builtinId="9" hidden="1"/>
    <cellStyle name="Lien hypertexte visité" xfId="62" builtinId="9" hidden="1"/>
    <cellStyle name="Lien hypertexte visité" xfId="160" builtinId="9" hidden="1"/>
    <cellStyle name="Lien hypertexte visité" xfId="32" builtinId="9" hidden="1"/>
    <cellStyle name="Lien hypertexte visité" xfId="134" builtinId="9" hidden="1"/>
    <cellStyle name="Lien hypertexte visité" xfId="24" builtinId="9" hidden="1"/>
    <cellStyle name="Lien hypertexte visité" xfId="212" builtinId="9" hidden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49"/>
  <sheetViews>
    <sheetView tabSelected="1" topLeftCell="A15" zoomScaleNormal="100" zoomScalePageLayoutView="125" workbookViewId="0">
      <selection activeCell="G34" sqref="G34"/>
    </sheetView>
  </sheetViews>
  <sheetFormatPr baseColWidth="10" defaultColWidth="10.77734375" defaultRowHeight="14.4" x14ac:dyDescent="0.3"/>
  <cols>
    <col min="1" max="1" width="15" customWidth="1"/>
    <col min="2" max="2" width="7.77734375" customWidth="1"/>
    <col min="3" max="3" width="7" customWidth="1"/>
    <col min="4" max="4" width="13.44140625" customWidth="1"/>
    <col min="5" max="5" width="13" style="1" customWidth="1"/>
    <col min="6" max="6" width="25.77734375" customWidth="1"/>
    <col min="7" max="7" width="9" customWidth="1"/>
    <col min="8" max="8" width="9.109375" customWidth="1"/>
    <col min="9" max="20" width="7.77734375" customWidth="1"/>
  </cols>
  <sheetData>
    <row r="1" spans="1:24" ht="15" thickBot="1" x14ac:dyDescent="0.35"/>
    <row r="2" spans="1:24" ht="15" thickTop="1" x14ac:dyDescent="0.3">
      <c r="B2" s="6"/>
      <c r="C2" s="7"/>
      <c r="D2" s="7"/>
      <c r="E2" s="8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9"/>
    </row>
    <row r="3" spans="1:24" ht="18" x14ac:dyDescent="0.35">
      <c r="B3" s="66" t="s">
        <v>0</v>
      </c>
      <c r="C3" s="67"/>
      <c r="D3" s="67"/>
      <c r="E3" s="67"/>
      <c r="F3" s="10"/>
      <c r="X3" s="11"/>
    </row>
    <row r="4" spans="1:24" ht="21" x14ac:dyDescent="0.4">
      <c r="A4" s="2"/>
      <c r="B4" s="68" t="s">
        <v>1</v>
      </c>
      <c r="C4" s="69"/>
      <c r="D4" s="69"/>
      <c r="E4" s="69"/>
      <c r="F4" s="70"/>
      <c r="X4" s="11"/>
    </row>
    <row r="5" spans="1:24" x14ac:dyDescent="0.3">
      <c r="A5" s="2"/>
      <c r="B5" s="42"/>
      <c r="X5" s="11"/>
    </row>
    <row r="6" spans="1:24" x14ac:dyDescent="0.3">
      <c r="B6" s="12" t="s">
        <v>2</v>
      </c>
      <c r="C6" s="13" t="s">
        <v>3</v>
      </c>
      <c r="D6" s="14" t="s">
        <v>4</v>
      </c>
      <c r="E6" s="15" t="s">
        <v>5</v>
      </c>
      <c r="X6" s="11"/>
    </row>
    <row r="7" spans="1:24" x14ac:dyDescent="0.3">
      <c r="A7" s="2"/>
      <c r="B7" s="16">
        <v>1</v>
      </c>
      <c r="C7" s="44">
        <v>6</v>
      </c>
      <c r="D7" s="1" t="str">
        <f t="shared" ref="D7:D15" si="0">MID($B$4,B7,C7)</f>
        <v>00006D</v>
      </c>
      <c r="E7" s="5">
        <f>HEX2DEC(D7)</f>
        <v>109</v>
      </c>
      <c r="F7" t="s">
        <v>6</v>
      </c>
      <c r="X7" s="11"/>
    </row>
    <row r="8" spans="1:24" x14ac:dyDescent="0.3">
      <c r="A8" s="2"/>
      <c r="B8" s="16">
        <f t="shared" ref="B8:B15" si="1">B7+C7</f>
        <v>7</v>
      </c>
      <c r="C8" s="44">
        <v>2</v>
      </c>
      <c r="D8" s="1" t="str">
        <f t="shared" si="0"/>
        <v>04</v>
      </c>
      <c r="E8" s="5">
        <f>HEX2DEC(D8)</f>
        <v>4</v>
      </c>
      <c r="F8" t="s">
        <v>7</v>
      </c>
      <c r="X8" s="11"/>
    </row>
    <row r="9" spans="1:24" x14ac:dyDescent="0.3">
      <c r="A9" s="2"/>
      <c r="B9" s="16">
        <f t="shared" si="1"/>
        <v>9</v>
      </c>
      <c r="C9" s="44">
        <v>2</v>
      </c>
      <c r="D9" s="1" t="str">
        <f t="shared" si="0"/>
        <v>13</v>
      </c>
      <c r="E9" s="5">
        <f>HEX2DEC(D9)</f>
        <v>19</v>
      </c>
      <c r="F9" t="s">
        <v>8</v>
      </c>
      <c r="X9" s="11"/>
    </row>
    <row r="10" spans="1:24" x14ac:dyDescent="0.3">
      <c r="A10" s="2"/>
      <c r="B10" s="16">
        <f t="shared" si="1"/>
        <v>11</v>
      </c>
      <c r="C10" s="44">
        <v>2</v>
      </c>
      <c r="D10" s="1" t="str">
        <f t="shared" si="0"/>
        <v>01</v>
      </c>
      <c r="E10" s="5" t="str">
        <f>HEX2BIN(D10,8)</f>
        <v>00000001</v>
      </c>
      <c r="F10" t="s">
        <v>9</v>
      </c>
      <c r="X10" s="11"/>
    </row>
    <row r="11" spans="1:24" x14ac:dyDescent="0.3">
      <c r="A11" s="2"/>
      <c r="B11" s="16">
        <f t="shared" si="1"/>
        <v>13</v>
      </c>
      <c r="C11" s="44">
        <v>4</v>
      </c>
      <c r="D11" s="1" t="str">
        <f t="shared" si="0"/>
        <v>FFE5</v>
      </c>
      <c r="E11" s="5">
        <f>IF(LEFT(D11,1)&gt;="A",(HEX2DEC(D11)-65536)/10,HEX2DEC(D11)/10)</f>
        <v>-2.7</v>
      </c>
      <c r="F11" t="s">
        <v>10</v>
      </c>
      <c r="X11" s="11"/>
    </row>
    <row r="12" spans="1:24" x14ac:dyDescent="0.3">
      <c r="A12" s="2"/>
      <c r="B12" s="16">
        <f t="shared" si="1"/>
        <v>17</v>
      </c>
      <c r="C12" s="44">
        <v>4</v>
      </c>
      <c r="D12" s="1" t="str">
        <f t="shared" si="0"/>
        <v>0120</v>
      </c>
      <c r="E12" s="17">
        <f>HEX2DEC(D12)/10</f>
        <v>28.8</v>
      </c>
      <c r="F12" t="s">
        <v>11</v>
      </c>
      <c r="X12" s="11"/>
    </row>
    <row r="13" spans="1:24" x14ac:dyDescent="0.3">
      <c r="A13" s="2"/>
      <c r="B13" s="16">
        <f t="shared" si="1"/>
        <v>21</v>
      </c>
      <c r="C13" s="44">
        <v>4</v>
      </c>
      <c r="D13" s="1" t="str">
        <f t="shared" si="0"/>
        <v>0000</v>
      </c>
      <c r="E13" s="5">
        <f>HEX2DEC(D13)</f>
        <v>0</v>
      </c>
      <c r="F13" t="s">
        <v>12</v>
      </c>
      <c r="X13" s="11"/>
    </row>
    <row r="14" spans="1:24" x14ac:dyDescent="0.3">
      <c r="A14" s="2"/>
      <c r="B14" s="16">
        <f t="shared" si="1"/>
        <v>25</v>
      </c>
      <c r="C14" s="44">
        <v>4</v>
      </c>
      <c r="D14" s="1" t="str">
        <f t="shared" si="0"/>
        <v>0000</v>
      </c>
      <c r="E14" s="5">
        <f>HEX2DEC(D14)</f>
        <v>0</v>
      </c>
      <c r="F14" t="s">
        <v>13</v>
      </c>
      <c r="X14" s="11"/>
    </row>
    <row r="15" spans="1:24" x14ac:dyDescent="0.3">
      <c r="A15" s="2"/>
      <c r="B15" s="16">
        <f t="shared" si="1"/>
        <v>29</v>
      </c>
      <c r="C15" s="44">
        <v>4</v>
      </c>
      <c r="D15" s="1" t="str">
        <f t="shared" si="0"/>
        <v>0008</v>
      </c>
      <c r="E15" s="5">
        <f>HEX2DEC(D15)</f>
        <v>8</v>
      </c>
      <c r="F15" t="s">
        <v>14</v>
      </c>
      <c r="G15" s="44" t="str">
        <f>HEX2BIN(MID(D15,1,2),8)</f>
        <v>00000000</v>
      </c>
      <c r="H15" s="44" t="str">
        <f>HEX2BIN(MID(D15,3,2),8)</f>
        <v>00001000</v>
      </c>
      <c r="I15" s="44">
        <f>IF((MID($G15,1,1)="0"),0,1)</f>
        <v>0</v>
      </c>
      <c r="J15" s="44">
        <f>IF((MID($G15,2,1)="0"),0,1)</f>
        <v>0</v>
      </c>
      <c r="K15" s="44">
        <f>IF((MID($G15,3,1)="0"),0,1)</f>
        <v>0</v>
      </c>
      <c r="L15" s="44">
        <f>IF((MID($G15,4,1)="0"),0,1)</f>
        <v>0</v>
      </c>
      <c r="M15" s="44">
        <f>IF((MID($G15,5,1)="0"),0,1)</f>
        <v>0</v>
      </c>
      <c r="N15" s="44">
        <f>IF((MID($G15,6,1)="0"),0,1)</f>
        <v>0</v>
      </c>
      <c r="O15" s="44">
        <f>IF((MID($G15,7,1)="0"),0,1)</f>
        <v>0</v>
      </c>
      <c r="P15" s="44">
        <f>IF((MID($G15,8,1)="0"),0,1)</f>
        <v>0</v>
      </c>
      <c r="Q15" s="44">
        <f>IF((MID($H15,1,1)="0"),0,1)</f>
        <v>0</v>
      </c>
      <c r="R15" s="44">
        <f>IF((MID($H15,2,1)="0"),0,1)</f>
        <v>0</v>
      </c>
      <c r="S15" s="44">
        <f>IF((MID($H15,3,1)="0"),0,1)</f>
        <v>0</v>
      </c>
      <c r="T15" s="44">
        <f>IF((MID($H15,4,1)="0"),0,1)</f>
        <v>0</v>
      </c>
      <c r="U15" s="20" t="str">
        <f>IF((MID($H15,5,1)="0"),"Hum Lo OK","Hum Lo Alm")</f>
        <v>Hum Lo Alm</v>
      </c>
      <c r="V15" s="20" t="str">
        <f>IF((MID($H15,6,1)="0"),"Hum Hi OK","Hum Hi Alm")</f>
        <v>Hum Hi OK</v>
      </c>
      <c r="W15" s="20" t="str">
        <f>IF((MID($H15,7,1)="0"),"Temp Lo OK","Temp Lo Alm")</f>
        <v>Temp Lo OK</v>
      </c>
      <c r="X15" s="30" t="str">
        <f>IF((MID($H15,8,1)="0"),"Temp Hi OK","Temp Hi Alm")</f>
        <v>Temp Hi OK</v>
      </c>
    </row>
    <row r="16" spans="1:24" x14ac:dyDescent="0.3">
      <c r="A16" s="2"/>
      <c r="B16" s="16">
        <f>B15+C15</f>
        <v>33</v>
      </c>
      <c r="C16" s="44">
        <v>4</v>
      </c>
      <c r="D16" s="1" t="str">
        <f>MID($B$4,B16,C16)</f>
        <v>0000</v>
      </c>
      <c r="E16" s="5">
        <f>HEX2DEC(D16)</f>
        <v>0</v>
      </c>
      <c r="F16" s="21" t="s">
        <v>15</v>
      </c>
      <c r="G16" s="44" t="str">
        <f>HEX2BIN(MID(D16,1,2),8)</f>
        <v>00000000</v>
      </c>
      <c r="H16" s="44" t="str">
        <f>HEX2BIN(MID(D16,3,2),8)</f>
        <v>00000000</v>
      </c>
      <c r="I16" s="44">
        <f>IF((MID($G16,1,1)="0"),0,1)</f>
        <v>0</v>
      </c>
      <c r="J16" s="44">
        <f>IF((MID($G16,2,1)="0"),0,1)</f>
        <v>0</v>
      </c>
      <c r="K16" s="44">
        <f>IF((MID($G16,3,1)="0"),0,1)</f>
        <v>0</v>
      </c>
      <c r="L16" s="44">
        <f>IF((MID($G16,4,1)="0"),0,1)</f>
        <v>0</v>
      </c>
      <c r="M16" s="44">
        <f>IF((MID($G16,5,1)="0"),0,1)</f>
        <v>0</v>
      </c>
      <c r="N16" s="44">
        <f>IF((MID($G16,6,1)="0"),0,1)</f>
        <v>0</v>
      </c>
      <c r="O16" s="44">
        <f>IF((MID($G16,7,1)="0"),0,1)</f>
        <v>0</v>
      </c>
      <c r="P16" s="44">
        <f>IF((MID($G16,8,1)="0"),0,1)</f>
        <v>0</v>
      </c>
      <c r="Q16" s="44">
        <f>IF((MID($H16,1,1)="0"),0,1)</f>
        <v>0</v>
      </c>
      <c r="R16" s="44">
        <f>IF((MID($H16,2,1)="0"),0,1)</f>
        <v>0</v>
      </c>
      <c r="S16" s="44">
        <f>IF((MID($H16,3,1)="0"),0,1)</f>
        <v>0</v>
      </c>
      <c r="T16" s="44">
        <f>IF((MID($H16,4,1)="0"),0,1)</f>
        <v>0</v>
      </c>
      <c r="U16" s="3">
        <f>IF((MID($H16,5,1)="0"),0,1)</f>
        <v>0</v>
      </c>
      <c r="V16" s="4">
        <f>IF((MID($H16,6,1)="0"),0,1)</f>
        <v>0</v>
      </c>
      <c r="W16" s="20">
        <f>IF((MID($H16,7,1)="0"),0,1)</f>
        <v>0</v>
      </c>
      <c r="X16" s="30" t="str">
        <f>IF((MID($H16,8,1)="0"),"Normal","Alarm")</f>
        <v>Normal</v>
      </c>
    </row>
    <row r="17" spans="1:24" ht="15" customHeight="1" x14ac:dyDescent="0.3">
      <c r="A17" s="2"/>
      <c r="B17" s="16"/>
      <c r="C17" s="44"/>
      <c r="D17" s="1"/>
      <c r="E17" s="17"/>
      <c r="U17" s="76" t="s">
        <v>16</v>
      </c>
      <c r="V17" s="77"/>
      <c r="W17" s="44"/>
      <c r="X17" s="36"/>
    </row>
    <row r="18" spans="1:24" x14ac:dyDescent="0.3">
      <c r="B18" s="22"/>
      <c r="E18" s="17"/>
      <c r="U18" s="78"/>
      <c r="V18" s="77"/>
      <c r="W18" s="44"/>
      <c r="X18" s="36"/>
    </row>
    <row r="19" spans="1:24" x14ac:dyDescent="0.3">
      <c r="B19" s="22"/>
      <c r="E19" s="17"/>
      <c r="U19" s="78"/>
      <c r="V19" s="77"/>
      <c r="W19" s="44"/>
      <c r="X19" s="36"/>
    </row>
    <row r="20" spans="1:24" x14ac:dyDescent="0.3">
      <c r="B20" s="22"/>
      <c r="U20" s="78"/>
      <c r="V20" s="77"/>
      <c r="W20" s="44"/>
      <c r="X20" s="36"/>
    </row>
    <row r="21" spans="1:24" x14ac:dyDescent="0.3">
      <c r="B21" s="22"/>
      <c r="U21" s="78"/>
      <c r="V21" s="77"/>
      <c r="W21" s="44"/>
      <c r="X21" s="36"/>
    </row>
    <row r="22" spans="1:24" x14ac:dyDescent="0.3">
      <c r="B22" s="22"/>
      <c r="U22" s="79"/>
      <c r="V22" s="80"/>
      <c r="W22" s="44"/>
      <c r="X22" s="36"/>
    </row>
    <row r="23" spans="1:24" ht="15" thickBot="1" x14ac:dyDescent="0.35">
      <c r="B23" s="23"/>
      <c r="C23" s="24"/>
      <c r="D23" s="24"/>
      <c r="E23" s="25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6"/>
    </row>
    <row r="24" spans="1:24" ht="15" thickTop="1" x14ac:dyDescent="0.3"/>
    <row r="25" spans="1:24" ht="15" thickBot="1" x14ac:dyDescent="0.35"/>
    <row r="26" spans="1:24" ht="27" thickTop="1" thickBot="1" x14ac:dyDescent="0.55000000000000004">
      <c r="B26" s="73" t="s">
        <v>17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5"/>
    </row>
    <row r="27" spans="1:24" ht="38.25" customHeight="1" thickTop="1" x14ac:dyDescent="0.35">
      <c r="B27" s="71" t="s">
        <v>18</v>
      </c>
      <c r="C27" s="56"/>
      <c r="D27" s="56"/>
      <c r="E27" s="60" t="s">
        <v>19</v>
      </c>
      <c r="F27" s="61"/>
      <c r="G27" s="62"/>
      <c r="H27" s="45" t="s">
        <v>20</v>
      </c>
      <c r="I27" s="55" t="s">
        <v>21</v>
      </c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7"/>
      <c r="V27" s="57"/>
      <c r="W27" s="58"/>
    </row>
    <row r="28" spans="1:24" x14ac:dyDescent="0.3">
      <c r="B28" s="72"/>
      <c r="C28" s="50"/>
      <c r="D28" s="50"/>
      <c r="E28" s="51"/>
      <c r="F28" s="50"/>
      <c r="G28" s="43"/>
      <c r="H28" s="43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9"/>
    </row>
    <row r="29" spans="1:24" x14ac:dyDescent="0.3">
      <c r="B29" s="64" t="s">
        <v>22</v>
      </c>
      <c r="C29" s="50"/>
      <c r="D29" s="50"/>
      <c r="E29" s="52" t="s">
        <v>23</v>
      </c>
      <c r="F29" s="50"/>
      <c r="G29" s="44">
        <v>0</v>
      </c>
      <c r="H29" s="44" t="str">
        <f>DEC2HEX(G29,6)</f>
        <v>000000</v>
      </c>
      <c r="I29" s="53" t="str">
        <f>H29&amp;H30&amp;H31&amp;H32&amp;H33&amp;H34&amp;H35&amp;H36&amp;H37&amp;H38&amp;H39&amp;H40&amp;H41&amp;H42&amp;H43&amp;H44&amp;H45&amp;H46&amp;H47</f>
        <v>000000030000012C00000000019000C8032001900000000000000000000000000000000001</v>
      </c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3"/>
      <c r="V29" s="53"/>
      <c r="W29" s="54"/>
    </row>
    <row r="30" spans="1:24" x14ac:dyDescent="0.3">
      <c r="B30" s="64" t="s">
        <v>24</v>
      </c>
      <c r="C30" s="50"/>
      <c r="D30" s="50"/>
      <c r="E30" s="52" t="s">
        <v>25</v>
      </c>
      <c r="F30" s="50"/>
      <c r="G30" s="44">
        <v>3</v>
      </c>
      <c r="H30" s="44" t="str">
        <f>DEC2HEX(G30,2)</f>
        <v>03</v>
      </c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4"/>
      <c r="U30" s="53"/>
      <c r="V30" s="53"/>
      <c r="W30" s="54"/>
    </row>
    <row r="31" spans="1:24" x14ac:dyDescent="0.3">
      <c r="B31" s="64" t="s">
        <v>22</v>
      </c>
      <c r="C31" s="50"/>
      <c r="D31" s="50"/>
      <c r="E31" s="52" t="s">
        <v>23</v>
      </c>
      <c r="F31" s="50"/>
      <c r="G31" s="44">
        <v>0</v>
      </c>
      <c r="H31" s="44" t="str">
        <f>DEC2HEX(G31,4)</f>
        <v>0000</v>
      </c>
      <c r="W31" s="11"/>
    </row>
    <row r="32" spans="1:24" x14ac:dyDescent="0.3">
      <c r="B32" s="64" t="s">
        <v>26</v>
      </c>
      <c r="C32" s="50"/>
      <c r="D32" s="50"/>
      <c r="E32" s="52" t="s">
        <v>27</v>
      </c>
      <c r="F32" s="50"/>
      <c r="G32" s="27">
        <v>5</v>
      </c>
      <c r="H32" s="44" t="str">
        <f>DEC2HEX(G32*60,4)</f>
        <v>012C</v>
      </c>
      <c r="W32" s="11"/>
    </row>
    <row r="33" spans="2:23" x14ac:dyDescent="0.3">
      <c r="B33" s="64" t="s">
        <v>22</v>
      </c>
      <c r="C33" s="50"/>
      <c r="D33" s="50"/>
      <c r="E33" s="52" t="s">
        <v>28</v>
      </c>
      <c r="F33" s="50"/>
      <c r="G33" s="103">
        <v>0</v>
      </c>
      <c r="H33" s="44" t="str">
        <f t="shared" ref="H33:H46" si="2">DEC2HEX(G33,4)</f>
        <v>0000</v>
      </c>
      <c r="W33" s="11"/>
    </row>
    <row r="34" spans="2:23" x14ac:dyDescent="0.3">
      <c r="B34" s="64" t="s">
        <v>22</v>
      </c>
      <c r="C34" s="50"/>
      <c r="D34" s="50"/>
      <c r="E34" s="52" t="s">
        <v>29</v>
      </c>
      <c r="F34" s="50"/>
      <c r="G34" s="103">
        <v>0</v>
      </c>
      <c r="H34" s="44" t="str">
        <f>DEC2HEX(G34*3600,4)</f>
        <v>0000</v>
      </c>
      <c r="W34" s="11"/>
    </row>
    <row r="35" spans="2:23" x14ac:dyDescent="0.3">
      <c r="B35" s="64" t="s">
        <v>30</v>
      </c>
      <c r="C35" s="50"/>
      <c r="D35" s="50"/>
      <c r="E35" s="52" t="s">
        <v>31</v>
      </c>
      <c r="F35" s="50"/>
      <c r="G35" s="28">
        <v>40</v>
      </c>
      <c r="H35" s="44" t="str">
        <f>IF(G35&lt;0,DEC2HEX(65536+(G35*10),4),DEC2HEX(G35*10,4))</f>
        <v>0190</v>
      </c>
      <c r="W35" s="11"/>
    </row>
    <row r="36" spans="2:23" x14ac:dyDescent="0.3">
      <c r="B36" s="64" t="s">
        <v>32</v>
      </c>
      <c r="C36" s="50"/>
      <c r="D36" s="50"/>
      <c r="E36" s="52" t="s">
        <v>33</v>
      </c>
      <c r="F36" s="50"/>
      <c r="G36" s="28">
        <v>20</v>
      </c>
      <c r="H36" s="44" t="str">
        <f>IF(G36&lt;0,DEC2HEX(65536+(G36*10),4),DEC2HEX(G36*10,4))</f>
        <v>00C8</v>
      </c>
      <c r="W36" s="11"/>
    </row>
    <row r="37" spans="2:23" x14ac:dyDescent="0.3">
      <c r="B37" s="64" t="s">
        <v>34</v>
      </c>
      <c r="C37" s="50"/>
      <c r="D37" s="50"/>
      <c r="E37" s="52" t="s">
        <v>35</v>
      </c>
      <c r="F37" s="50"/>
      <c r="G37" s="28">
        <v>80</v>
      </c>
      <c r="H37" s="44" t="str">
        <f>DEC2HEX(G37*10,4)</f>
        <v>0320</v>
      </c>
      <c r="W37" s="11"/>
    </row>
    <row r="38" spans="2:23" x14ac:dyDescent="0.3">
      <c r="B38" s="65" t="s">
        <v>36</v>
      </c>
      <c r="C38" s="50"/>
      <c r="D38" s="50"/>
      <c r="E38" s="63" t="s">
        <v>37</v>
      </c>
      <c r="F38" s="50"/>
      <c r="G38" s="28">
        <v>40</v>
      </c>
      <c r="H38" s="44" t="str">
        <f>DEC2HEX(G38*10,4)</f>
        <v>0190</v>
      </c>
      <c r="W38" s="11"/>
    </row>
    <row r="39" spans="2:23" x14ac:dyDescent="0.3">
      <c r="B39" s="49" t="s">
        <v>38</v>
      </c>
      <c r="C39" s="50"/>
      <c r="D39" s="50"/>
      <c r="E39" s="52" t="s">
        <v>23</v>
      </c>
      <c r="F39" s="50"/>
      <c r="G39" s="44">
        <v>0</v>
      </c>
      <c r="H39" s="44" t="str">
        <f t="shared" si="2"/>
        <v>0000</v>
      </c>
      <c r="W39" s="11"/>
    </row>
    <row r="40" spans="2:23" x14ac:dyDescent="0.3">
      <c r="B40" s="49" t="s">
        <v>39</v>
      </c>
      <c r="C40" s="50"/>
      <c r="D40" s="50"/>
      <c r="E40" s="52" t="s">
        <v>23</v>
      </c>
      <c r="F40" s="50"/>
      <c r="G40" s="44">
        <v>0</v>
      </c>
      <c r="H40" s="44" t="str">
        <f t="shared" si="2"/>
        <v>0000</v>
      </c>
      <c r="W40" s="11"/>
    </row>
    <row r="41" spans="2:23" x14ac:dyDescent="0.3">
      <c r="B41" s="49" t="s">
        <v>40</v>
      </c>
      <c r="C41" s="50"/>
      <c r="D41" s="50"/>
      <c r="E41" s="52" t="s">
        <v>23</v>
      </c>
      <c r="F41" s="50"/>
      <c r="G41" s="44">
        <v>0</v>
      </c>
      <c r="H41" s="44" t="str">
        <f t="shared" si="2"/>
        <v>0000</v>
      </c>
      <c r="W41" s="11"/>
    </row>
    <row r="42" spans="2:23" x14ac:dyDescent="0.3">
      <c r="B42" s="49" t="s">
        <v>41</v>
      </c>
      <c r="C42" s="50"/>
      <c r="D42" s="50"/>
      <c r="E42" s="52" t="s">
        <v>23</v>
      </c>
      <c r="F42" s="50"/>
      <c r="G42" s="44">
        <v>0</v>
      </c>
      <c r="H42" s="44" t="str">
        <f t="shared" si="2"/>
        <v>0000</v>
      </c>
      <c r="W42" s="11"/>
    </row>
    <row r="43" spans="2:23" x14ac:dyDescent="0.3">
      <c r="B43" s="49" t="s">
        <v>42</v>
      </c>
      <c r="C43" s="50"/>
      <c r="D43" s="50"/>
      <c r="E43" s="52" t="s">
        <v>23</v>
      </c>
      <c r="F43" s="50"/>
      <c r="G43" s="44">
        <v>0</v>
      </c>
      <c r="H43" s="44" t="str">
        <f t="shared" si="2"/>
        <v>0000</v>
      </c>
      <c r="W43" s="11"/>
    </row>
    <row r="44" spans="2:23" x14ac:dyDescent="0.3">
      <c r="B44" s="49" t="s">
        <v>43</v>
      </c>
      <c r="C44" s="50"/>
      <c r="D44" s="50"/>
      <c r="E44" s="52" t="s">
        <v>23</v>
      </c>
      <c r="F44" s="50"/>
      <c r="G44" s="44">
        <v>0</v>
      </c>
      <c r="H44" s="44" t="str">
        <f t="shared" si="2"/>
        <v>0000</v>
      </c>
      <c r="W44" s="11"/>
    </row>
    <row r="45" spans="2:23" x14ac:dyDescent="0.3">
      <c r="B45" s="49" t="s">
        <v>44</v>
      </c>
      <c r="C45" s="50"/>
      <c r="D45" s="50"/>
      <c r="E45" s="52" t="s">
        <v>23</v>
      </c>
      <c r="F45" s="50"/>
      <c r="G45" s="44">
        <v>0</v>
      </c>
      <c r="H45" s="44" t="str">
        <f t="shared" si="2"/>
        <v>0000</v>
      </c>
      <c r="W45" s="11"/>
    </row>
    <row r="46" spans="2:23" x14ac:dyDescent="0.3">
      <c r="B46" s="49" t="s">
        <v>45</v>
      </c>
      <c r="C46" s="50"/>
      <c r="D46" s="50"/>
      <c r="E46" s="52" t="s">
        <v>23</v>
      </c>
      <c r="F46" s="50"/>
      <c r="G46" s="44">
        <v>0</v>
      </c>
      <c r="H46" s="44" t="str">
        <f t="shared" si="2"/>
        <v>0000</v>
      </c>
      <c r="W46" s="11"/>
    </row>
    <row r="47" spans="2:23" x14ac:dyDescent="0.3">
      <c r="B47" s="49" t="s">
        <v>22</v>
      </c>
      <c r="C47" s="50"/>
      <c r="D47" s="50"/>
      <c r="E47" s="52" t="s">
        <v>46</v>
      </c>
      <c r="F47" s="50"/>
      <c r="G47" s="44">
        <v>1</v>
      </c>
      <c r="H47" s="44" t="str">
        <f>DEC2HEX(G47,2)</f>
        <v>01</v>
      </c>
      <c r="W47" s="11"/>
    </row>
    <row r="48" spans="2:23" ht="15" thickBot="1" x14ac:dyDescent="0.35">
      <c r="B48" s="23"/>
      <c r="C48" s="24"/>
      <c r="D48" s="24"/>
      <c r="E48" s="25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6"/>
    </row>
    <row r="49" ht="15" thickTop="1" x14ac:dyDescent="0.3"/>
  </sheetData>
  <mergeCells count="49">
    <mergeCell ref="B3:E3"/>
    <mergeCell ref="B4:F4"/>
    <mergeCell ref="B27:D27"/>
    <mergeCell ref="B28:D28"/>
    <mergeCell ref="B26:W26"/>
    <mergeCell ref="U17:V22"/>
    <mergeCell ref="B29:D29"/>
    <mergeCell ref="B30:D30"/>
    <mergeCell ref="B31:D31"/>
    <mergeCell ref="B32:D32"/>
    <mergeCell ref="B33:D33"/>
    <mergeCell ref="B42:D42"/>
    <mergeCell ref="B43:D43"/>
    <mergeCell ref="B34:D34"/>
    <mergeCell ref="B35:D35"/>
    <mergeCell ref="B36:D36"/>
    <mergeCell ref="B37:D37"/>
    <mergeCell ref="B38:D38"/>
    <mergeCell ref="I29:W30"/>
    <mergeCell ref="I27:W27"/>
    <mergeCell ref="I28:W28"/>
    <mergeCell ref="E27:G27"/>
    <mergeCell ref="E42:F42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B47:D47"/>
    <mergeCell ref="E28:F28"/>
    <mergeCell ref="E29:F29"/>
    <mergeCell ref="E30:F30"/>
    <mergeCell ref="E31:F31"/>
    <mergeCell ref="E47:F47"/>
    <mergeCell ref="E43:F43"/>
    <mergeCell ref="E44:F44"/>
    <mergeCell ref="E45:F45"/>
    <mergeCell ref="E46:F46"/>
    <mergeCell ref="B44:D44"/>
    <mergeCell ref="B45:D45"/>
    <mergeCell ref="B46:D46"/>
    <mergeCell ref="B39:D39"/>
    <mergeCell ref="B40:D40"/>
    <mergeCell ref="B41:D4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BDD67-229E-F54D-85F0-F22848E3A28D}">
  <dimension ref="A1:X46"/>
  <sheetViews>
    <sheetView topLeftCell="A6" workbookViewId="0">
      <selection activeCell="G31" sqref="G31"/>
    </sheetView>
  </sheetViews>
  <sheetFormatPr baseColWidth="10" defaultColWidth="10.77734375" defaultRowHeight="14.4" x14ac:dyDescent="0.3"/>
  <cols>
    <col min="1" max="1" width="15" customWidth="1"/>
    <col min="2" max="2" width="7.77734375" customWidth="1"/>
    <col min="3" max="3" width="7" customWidth="1"/>
    <col min="4" max="4" width="14.6640625" customWidth="1"/>
    <col min="5" max="5" width="13" style="1" customWidth="1"/>
    <col min="6" max="6" width="28.109375" customWidth="1"/>
    <col min="7" max="7" width="9.109375" customWidth="1"/>
    <col min="8" max="8" width="9.44140625" customWidth="1"/>
    <col min="9" max="22" width="7.77734375" customWidth="1"/>
  </cols>
  <sheetData>
    <row r="1" spans="1:24" ht="15" thickBot="1" x14ac:dyDescent="0.35"/>
    <row r="2" spans="1:24" ht="18.600000000000001" thickTop="1" x14ac:dyDescent="0.35">
      <c r="B2" s="81" t="s">
        <v>0</v>
      </c>
      <c r="C2" s="82"/>
      <c r="D2" s="82"/>
      <c r="E2" s="82"/>
      <c r="F2" s="29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9"/>
    </row>
    <row r="3" spans="1:24" ht="18" x14ac:dyDescent="0.35">
      <c r="A3" s="2"/>
      <c r="B3" s="83" t="s">
        <v>103</v>
      </c>
      <c r="C3" s="84"/>
      <c r="D3" s="84"/>
      <c r="E3" s="84"/>
      <c r="F3" s="85"/>
      <c r="X3" s="11"/>
    </row>
    <row r="4" spans="1:24" x14ac:dyDescent="0.3">
      <c r="A4" s="2"/>
      <c r="B4" s="42"/>
      <c r="X4" s="11"/>
    </row>
    <row r="5" spans="1:24" x14ac:dyDescent="0.3">
      <c r="B5" s="12" t="s">
        <v>2</v>
      </c>
      <c r="C5" s="13" t="s">
        <v>3</v>
      </c>
      <c r="D5" s="14" t="s">
        <v>4</v>
      </c>
      <c r="E5" s="15" t="s">
        <v>5</v>
      </c>
      <c r="X5" s="11"/>
    </row>
    <row r="6" spans="1:24" x14ac:dyDescent="0.3">
      <c r="A6" s="2"/>
      <c r="B6" s="16">
        <v>1</v>
      </c>
      <c r="C6" s="44">
        <v>6</v>
      </c>
      <c r="D6" s="1" t="str">
        <f t="shared" ref="D6:D12" si="0">MID($B$3,B6,C6)</f>
        <v>0000C7</v>
      </c>
      <c r="E6" s="5">
        <f>HEX2DEC(D6)</f>
        <v>199</v>
      </c>
      <c r="F6" t="s">
        <v>6</v>
      </c>
      <c r="X6" s="11"/>
    </row>
    <row r="7" spans="1:24" x14ac:dyDescent="0.3">
      <c r="A7" s="2"/>
      <c r="B7" s="16">
        <f t="shared" ref="B7:B12" si="1">B6+C6</f>
        <v>7</v>
      </c>
      <c r="C7" s="44">
        <v>2</v>
      </c>
      <c r="D7" s="1" t="str">
        <f t="shared" si="0"/>
        <v>0D</v>
      </c>
      <c r="E7" s="5">
        <f>HEX2DEC(D7)</f>
        <v>13</v>
      </c>
      <c r="F7" t="s">
        <v>104</v>
      </c>
      <c r="X7" s="11"/>
    </row>
    <row r="8" spans="1:24" x14ac:dyDescent="0.3">
      <c r="A8" s="2"/>
      <c r="B8" s="16">
        <f t="shared" si="1"/>
        <v>9</v>
      </c>
      <c r="C8" s="44">
        <v>2</v>
      </c>
      <c r="D8" s="1" t="str">
        <f t="shared" si="0"/>
        <v>0A</v>
      </c>
      <c r="E8" s="5">
        <f>HEX2DEC(D8)</f>
        <v>10</v>
      </c>
      <c r="F8" t="s">
        <v>8</v>
      </c>
      <c r="X8" s="11"/>
    </row>
    <row r="9" spans="1:24" x14ac:dyDescent="0.3">
      <c r="A9" s="2"/>
      <c r="B9" s="16">
        <f t="shared" si="1"/>
        <v>11</v>
      </c>
      <c r="C9" s="44">
        <v>2</v>
      </c>
      <c r="D9" s="1" t="str">
        <f t="shared" si="0"/>
        <v>01</v>
      </c>
      <c r="E9" s="5" t="str">
        <f>HEX2BIN(D9,8)</f>
        <v>00000001</v>
      </c>
      <c r="F9" t="s">
        <v>9</v>
      </c>
      <c r="X9" s="11"/>
    </row>
    <row r="10" spans="1:24" x14ac:dyDescent="0.3">
      <c r="A10" s="2"/>
      <c r="B10" s="16">
        <f t="shared" si="1"/>
        <v>13</v>
      </c>
      <c r="C10" s="44">
        <v>4</v>
      </c>
      <c r="D10" s="1" t="str">
        <f t="shared" si="0"/>
        <v>0002</v>
      </c>
      <c r="E10" s="17">
        <f>HEX2DEC(D10)/1000</f>
        <v>2E-3</v>
      </c>
      <c r="F10" t="s">
        <v>105</v>
      </c>
      <c r="X10" s="11"/>
    </row>
    <row r="11" spans="1:24" x14ac:dyDescent="0.3">
      <c r="A11" s="2"/>
      <c r="B11" s="16">
        <f t="shared" si="1"/>
        <v>17</v>
      </c>
      <c r="C11" s="44">
        <v>4</v>
      </c>
      <c r="D11" s="1" t="str">
        <f t="shared" si="0"/>
        <v>0002</v>
      </c>
      <c r="E11" s="5">
        <f>HEX2DEC(D11)</f>
        <v>2</v>
      </c>
      <c r="F11" t="s">
        <v>14</v>
      </c>
      <c r="G11" s="44" t="str">
        <f>HEX2BIN(MID(D11,1,2),8)</f>
        <v>00000000</v>
      </c>
      <c r="H11" s="44" t="str">
        <f>HEX2BIN(MID(D11,3,2),8)</f>
        <v>00000010</v>
      </c>
      <c r="I11" s="44">
        <f>IF((MID($G11,1,1)="0"),0,1)</f>
        <v>0</v>
      </c>
      <c r="J11" s="44">
        <f>IF((MID($G11,2,1)="0"),0,1)</f>
        <v>0</v>
      </c>
      <c r="K11" s="44">
        <f>IF((MID($G11,3,1)="0"),0,1)</f>
        <v>0</v>
      </c>
      <c r="L11" s="44">
        <f>IF((MID($G11,4,1)="0"),0,1)</f>
        <v>0</v>
      </c>
      <c r="M11" s="44">
        <f>IF((MID($G11,5,1)="0"),0,1)</f>
        <v>0</v>
      </c>
      <c r="N11" s="44">
        <f>IF((MID($G11,6,1)="0"),0,1)</f>
        <v>0</v>
      </c>
      <c r="O11" s="44">
        <f>IF((MID($G11,7,1)="0"),0,1)</f>
        <v>0</v>
      </c>
      <c r="P11" s="44">
        <f>IF((MID($G11,8,1)="0"),0,1)</f>
        <v>0</v>
      </c>
      <c r="Q11" s="44">
        <f>IF((MID($H11,1,1)="0"),0,1)</f>
        <v>0</v>
      </c>
      <c r="R11" s="44">
        <f>IF((MID($H11,2,1)="0"),0,1)</f>
        <v>0</v>
      </c>
      <c r="S11" s="44">
        <f>IF((MID($H11,3,1)="0"),0,1)</f>
        <v>0</v>
      </c>
      <c r="T11" s="44">
        <f>IF((MID($H11,4,1)="0"),0,1)</f>
        <v>0</v>
      </c>
      <c r="U11" s="44">
        <f>IF((MID($H11,5,1)="0"),0,1)</f>
        <v>0</v>
      </c>
      <c r="V11" s="44">
        <f>IF((MID($H11,6,1)="0"),0,1)</f>
        <v>0</v>
      </c>
      <c r="W11" s="20" t="str">
        <f>IF((MID($H11,7,1)="0"),"4-20 Lo OK","4-20 Lo Alm")</f>
        <v>4-20 Lo Alm</v>
      </c>
      <c r="X11" s="30" t="str">
        <f>IF((MID($H11,8,1)="0"),"4-20 Hi OK","4-20 Hi Alm")</f>
        <v>4-20 Hi OK</v>
      </c>
    </row>
    <row r="12" spans="1:24" x14ac:dyDescent="0.3">
      <c r="A12" s="2"/>
      <c r="B12" s="16">
        <f t="shared" si="1"/>
        <v>21</v>
      </c>
      <c r="C12" s="44">
        <v>4</v>
      </c>
      <c r="D12" s="1" t="str">
        <f t="shared" si="0"/>
        <v>0000</v>
      </c>
      <c r="E12" s="5">
        <f>HEX2DEC(D12)</f>
        <v>0</v>
      </c>
      <c r="F12" s="21" t="s">
        <v>15</v>
      </c>
      <c r="G12" s="44" t="str">
        <f>HEX2BIN(MID(D12,1,2),8)</f>
        <v>00000000</v>
      </c>
      <c r="H12" s="44" t="str">
        <f>HEX2BIN(MID(D12,3,2),8)</f>
        <v>00000000</v>
      </c>
      <c r="I12" s="44">
        <f>IF((MID($G12,1,1)="0"),0,1)</f>
        <v>0</v>
      </c>
      <c r="J12" s="44">
        <f>IF((MID($G12,2,1)="0"),0,1)</f>
        <v>0</v>
      </c>
      <c r="K12" s="44">
        <f>IF((MID($G12,3,1)="0"),0,1)</f>
        <v>0</v>
      </c>
      <c r="L12" s="44">
        <f>IF((MID($G12,4,1)="0"),0,1)</f>
        <v>0</v>
      </c>
      <c r="M12" s="44">
        <f>IF((MID($G12,5,1)="0"),0,1)</f>
        <v>0</v>
      </c>
      <c r="N12" s="44">
        <f>IF((MID($G12,6,1)="0"),0,1)</f>
        <v>0</v>
      </c>
      <c r="O12" s="44">
        <f>IF((MID($G12,7,1)="0"),0,1)</f>
        <v>0</v>
      </c>
      <c r="P12" s="44">
        <f>IF((MID($G12,8,1)="0"),0,1)</f>
        <v>0</v>
      </c>
      <c r="Q12" s="44">
        <f>IF((MID($H12,1,1)="0"),0,1)</f>
        <v>0</v>
      </c>
      <c r="R12" s="44">
        <f>IF((MID($H12,2,1)="0"),0,1)</f>
        <v>0</v>
      </c>
      <c r="S12" s="44">
        <f>IF((MID($H12,3,1)="0"),0,1)</f>
        <v>0</v>
      </c>
      <c r="T12" s="44">
        <f>IF((MID($H12,4,1)="0"),0,1)</f>
        <v>0</v>
      </c>
      <c r="U12" s="3">
        <f>IF((MID($H12,5,1)="0"),0,1)</f>
        <v>0</v>
      </c>
      <c r="V12" s="4">
        <f>IF((MID($H12,6,1)="0"),0,1)</f>
        <v>0</v>
      </c>
      <c r="W12" s="20">
        <f>IF((MID($H12,7,1)="0"),0,1)</f>
        <v>0</v>
      </c>
      <c r="X12" s="30" t="str">
        <f>IF((MID($H12,8,1)="0"),"Normal","Alarm")</f>
        <v>Normal</v>
      </c>
    </row>
    <row r="13" spans="1:24" ht="15" customHeight="1" x14ac:dyDescent="0.3">
      <c r="A13" s="2"/>
      <c r="B13" s="16"/>
      <c r="C13" s="44"/>
      <c r="D13" s="1"/>
      <c r="E13" s="5"/>
      <c r="F13" s="31"/>
      <c r="U13" s="76" t="s">
        <v>16</v>
      </c>
      <c r="V13" s="77"/>
      <c r="W13" s="44"/>
      <c r="X13" s="36"/>
    </row>
    <row r="14" spans="1:24" x14ac:dyDescent="0.3">
      <c r="A14" s="2"/>
      <c r="B14" s="16"/>
      <c r="C14" s="44"/>
      <c r="D14" s="1"/>
      <c r="E14" s="17"/>
      <c r="U14" s="78"/>
      <c r="V14" s="77"/>
      <c r="W14" s="44"/>
      <c r="X14" s="36"/>
    </row>
    <row r="15" spans="1:24" x14ac:dyDescent="0.3">
      <c r="B15" s="22"/>
      <c r="E15" s="17"/>
      <c r="U15" s="78"/>
      <c r="V15" s="77"/>
      <c r="W15" s="44"/>
      <c r="X15" s="36"/>
    </row>
    <row r="16" spans="1:24" x14ac:dyDescent="0.3">
      <c r="B16" s="22"/>
      <c r="E16" s="17"/>
      <c r="U16" s="78"/>
      <c r="V16" s="77"/>
      <c r="W16" s="44"/>
      <c r="X16" s="36"/>
    </row>
    <row r="17" spans="2:24" x14ac:dyDescent="0.3">
      <c r="B17" s="22"/>
      <c r="E17" s="17"/>
      <c r="U17" s="78"/>
      <c r="V17" s="77"/>
      <c r="W17" s="44"/>
      <c r="X17" s="36"/>
    </row>
    <row r="18" spans="2:24" x14ac:dyDescent="0.3">
      <c r="B18" s="22"/>
      <c r="U18" s="79"/>
      <c r="V18" s="80"/>
      <c r="W18" s="44"/>
      <c r="X18" s="36"/>
    </row>
    <row r="19" spans="2:24" ht="15" thickBot="1" x14ac:dyDescent="0.35">
      <c r="B19" s="23"/>
      <c r="C19" s="24"/>
      <c r="D19" s="24"/>
      <c r="E19" s="25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6"/>
    </row>
    <row r="20" spans="2:24" ht="15" thickTop="1" x14ac:dyDescent="0.3"/>
    <row r="22" spans="2:24" ht="15" thickBot="1" x14ac:dyDescent="0.35"/>
    <row r="23" spans="2:24" ht="27" thickTop="1" thickBot="1" x14ac:dyDescent="0.55000000000000004">
      <c r="B23" s="73" t="s">
        <v>17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5"/>
    </row>
    <row r="24" spans="2:24" ht="42" customHeight="1" thickTop="1" x14ac:dyDescent="0.35">
      <c r="B24" s="71" t="s">
        <v>18</v>
      </c>
      <c r="C24" s="56"/>
      <c r="D24" s="56"/>
      <c r="E24" s="60" t="s">
        <v>19</v>
      </c>
      <c r="F24" s="61"/>
      <c r="G24" s="62"/>
      <c r="H24" s="45" t="s">
        <v>20</v>
      </c>
      <c r="I24" s="55" t="s">
        <v>21</v>
      </c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7"/>
      <c r="V24" s="57"/>
      <c r="W24" s="58"/>
    </row>
    <row r="25" spans="2:24" x14ac:dyDescent="0.3">
      <c r="B25" s="72"/>
      <c r="C25" s="50"/>
      <c r="D25" s="50"/>
      <c r="E25" s="51"/>
      <c r="F25" s="50"/>
      <c r="G25" s="43"/>
      <c r="H25" s="43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9"/>
    </row>
    <row r="26" spans="2:24" x14ac:dyDescent="0.3">
      <c r="B26" s="64" t="s">
        <v>22</v>
      </c>
      <c r="C26" s="50"/>
      <c r="D26" s="50"/>
      <c r="E26" s="52" t="s">
        <v>23</v>
      </c>
      <c r="F26" s="50"/>
      <c r="G26" s="44">
        <v>0</v>
      </c>
      <c r="H26" s="44" t="str">
        <f>DEC2HEX(G26,6)</f>
        <v>000000</v>
      </c>
      <c r="I26" s="53" t="str">
        <f>H26&amp;H27&amp;H28&amp;H29&amp;H30&amp;H31&amp;H32&amp;H33&amp;H34&amp;H35&amp;H36&amp;H37&amp;H38&amp;H39&amp;H40&amp;H41&amp;H42&amp;H43&amp;H44</f>
        <v>000000030000012C00000000067201C201F400000000000000000000000000000000000001</v>
      </c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4"/>
      <c r="U26" s="53"/>
      <c r="V26" s="53"/>
      <c r="W26" s="54"/>
    </row>
    <row r="27" spans="2:24" x14ac:dyDescent="0.3">
      <c r="B27" s="64" t="s">
        <v>24</v>
      </c>
      <c r="C27" s="50"/>
      <c r="D27" s="50"/>
      <c r="E27" s="52" t="s">
        <v>25</v>
      </c>
      <c r="F27" s="50"/>
      <c r="G27" s="44">
        <v>3</v>
      </c>
      <c r="H27" s="44" t="str">
        <f>DEC2HEX(G27,2)</f>
        <v>03</v>
      </c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4"/>
      <c r="U27" s="53"/>
      <c r="V27" s="53"/>
      <c r="W27" s="54"/>
    </row>
    <row r="28" spans="2:24" x14ac:dyDescent="0.3">
      <c r="B28" s="64" t="s">
        <v>22</v>
      </c>
      <c r="C28" s="50"/>
      <c r="D28" s="50"/>
      <c r="E28" s="52" t="s">
        <v>23</v>
      </c>
      <c r="F28" s="50"/>
      <c r="G28" s="44">
        <v>0</v>
      </c>
      <c r="H28" s="44" t="str">
        <f>DEC2HEX(G28,4)</f>
        <v>0000</v>
      </c>
      <c r="W28" s="11"/>
    </row>
    <row r="29" spans="2:24" x14ac:dyDescent="0.3">
      <c r="B29" s="64" t="s">
        <v>26</v>
      </c>
      <c r="C29" s="50"/>
      <c r="D29" s="50"/>
      <c r="E29" s="52" t="s">
        <v>27</v>
      </c>
      <c r="F29" s="50"/>
      <c r="G29" s="27">
        <v>5</v>
      </c>
      <c r="H29" s="44" t="str">
        <f>DEC2HEX(G29*60,4)</f>
        <v>012C</v>
      </c>
      <c r="W29" s="11"/>
    </row>
    <row r="30" spans="2:24" x14ac:dyDescent="0.3">
      <c r="B30" s="64" t="s">
        <v>22</v>
      </c>
      <c r="C30" s="50"/>
      <c r="D30" s="50"/>
      <c r="E30" s="52" t="s">
        <v>28</v>
      </c>
      <c r="F30" s="50"/>
      <c r="G30" s="103">
        <v>0</v>
      </c>
      <c r="H30" s="44" t="str">
        <f t="shared" ref="H30:H43" si="2">DEC2HEX(G30,4)</f>
        <v>0000</v>
      </c>
      <c r="W30" s="11"/>
    </row>
    <row r="31" spans="2:24" x14ac:dyDescent="0.3">
      <c r="B31" s="64" t="s">
        <v>22</v>
      </c>
      <c r="C31" s="50"/>
      <c r="D31" s="50"/>
      <c r="E31" s="52" t="s">
        <v>29</v>
      </c>
      <c r="F31" s="50"/>
      <c r="G31" s="103">
        <v>0</v>
      </c>
      <c r="H31" s="44" t="str">
        <f>DEC2HEX(G31*3600,4)</f>
        <v>0000</v>
      </c>
      <c r="W31" s="11"/>
    </row>
    <row r="32" spans="2:24" x14ac:dyDescent="0.3">
      <c r="B32" s="64" t="s">
        <v>30</v>
      </c>
      <c r="C32" s="50"/>
      <c r="D32" s="50"/>
      <c r="E32" s="52" t="s">
        <v>106</v>
      </c>
      <c r="F32" s="50"/>
      <c r="G32" s="34">
        <v>16.5</v>
      </c>
      <c r="H32" s="44" t="str">
        <f>DEC2HEX(G32*100,4)</f>
        <v>0672</v>
      </c>
      <c r="W32" s="11"/>
    </row>
    <row r="33" spans="2:23" x14ac:dyDescent="0.3">
      <c r="B33" s="64" t="s">
        <v>32</v>
      </c>
      <c r="C33" s="50"/>
      <c r="D33" s="50"/>
      <c r="E33" s="52" t="s">
        <v>107</v>
      </c>
      <c r="F33" s="50"/>
      <c r="G33" s="34">
        <v>4.5</v>
      </c>
      <c r="H33" s="44" t="str">
        <f>DEC2HEX(G33*100,4)</f>
        <v>01C2</v>
      </c>
      <c r="W33" s="11"/>
    </row>
    <row r="34" spans="2:23" x14ac:dyDescent="0.3">
      <c r="B34" s="64" t="s">
        <v>34</v>
      </c>
      <c r="C34" s="50"/>
      <c r="D34" s="50"/>
      <c r="E34" s="52" t="s">
        <v>108</v>
      </c>
      <c r="F34" s="50"/>
      <c r="G34" s="27">
        <v>500</v>
      </c>
      <c r="H34" s="44" t="str">
        <f>DEC2HEX(G34,4)</f>
        <v>01F4</v>
      </c>
      <c r="W34" s="11"/>
    </row>
    <row r="35" spans="2:23" x14ac:dyDescent="0.3">
      <c r="B35" s="65" t="s">
        <v>36</v>
      </c>
      <c r="C35" s="50"/>
      <c r="D35" s="50"/>
      <c r="E35" s="52" t="s">
        <v>23</v>
      </c>
      <c r="F35" s="50"/>
      <c r="G35" s="44">
        <v>0</v>
      </c>
      <c r="H35" s="44" t="str">
        <f>DEC2HEX(G35*10,4)</f>
        <v>0000</v>
      </c>
      <c r="W35" s="11"/>
    </row>
    <row r="36" spans="2:23" x14ac:dyDescent="0.3">
      <c r="B36" s="49" t="s">
        <v>38</v>
      </c>
      <c r="C36" s="50"/>
      <c r="D36" s="50"/>
      <c r="E36" s="52" t="s">
        <v>23</v>
      </c>
      <c r="F36" s="50"/>
      <c r="G36" s="44">
        <v>0</v>
      </c>
      <c r="H36" s="44" t="str">
        <f t="shared" si="2"/>
        <v>0000</v>
      </c>
      <c r="W36" s="11"/>
    </row>
    <row r="37" spans="2:23" x14ac:dyDescent="0.3">
      <c r="B37" s="49" t="s">
        <v>39</v>
      </c>
      <c r="C37" s="50"/>
      <c r="D37" s="50"/>
      <c r="E37" s="52" t="s">
        <v>23</v>
      </c>
      <c r="F37" s="50"/>
      <c r="G37" s="44">
        <v>0</v>
      </c>
      <c r="H37" s="44" t="str">
        <f t="shared" si="2"/>
        <v>0000</v>
      </c>
      <c r="W37" s="11"/>
    </row>
    <row r="38" spans="2:23" x14ac:dyDescent="0.3">
      <c r="B38" s="49" t="s">
        <v>40</v>
      </c>
      <c r="C38" s="50"/>
      <c r="D38" s="50"/>
      <c r="E38" s="52" t="s">
        <v>23</v>
      </c>
      <c r="F38" s="50"/>
      <c r="G38" s="44">
        <v>0</v>
      </c>
      <c r="H38" s="44" t="str">
        <f t="shared" si="2"/>
        <v>0000</v>
      </c>
      <c r="W38" s="11"/>
    </row>
    <row r="39" spans="2:23" x14ac:dyDescent="0.3">
      <c r="B39" s="49" t="s">
        <v>41</v>
      </c>
      <c r="C39" s="50"/>
      <c r="D39" s="50"/>
      <c r="E39" s="52" t="s">
        <v>23</v>
      </c>
      <c r="F39" s="50"/>
      <c r="G39" s="44">
        <v>0</v>
      </c>
      <c r="H39" s="44" t="str">
        <f t="shared" si="2"/>
        <v>0000</v>
      </c>
      <c r="W39" s="11"/>
    </row>
    <row r="40" spans="2:23" x14ac:dyDescent="0.3">
      <c r="B40" s="49" t="s">
        <v>42</v>
      </c>
      <c r="C40" s="50"/>
      <c r="D40" s="50"/>
      <c r="E40" s="52" t="s">
        <v>23</v>
      </c>
      <c r="F40" s="50"/>
      <c r="G40" s="44">
        <v>0</v>
      </c>
      <c r="H40" s="44" t="str">
        <f t="shared" si="2"/>
        <v>0000</v>
      </c>
      <c r="W40" s="11"/>
    </row>
    <row r="41" spans="2:23" x14ac:dyDescent="0.3">
      <c r="B41" s="49" t="s">
        <v>43</v>
      </c>
      <c r="C41" s="50"/>
      <c r="D41" s="50"/>
      <c r="E41" s="52" t="s">
        <v>23</v>
      </c>
      <c r="F41" s="50"/>
      <c r="G41" s="44">
        <v>0</v>
      </c>
      <c r="H41" s="44" t="str">
        <f t="shared" si="2"/>
        <v>0000</v>
      </c>
      <c r="W41" s="11"/>
    </row>
    <row r="42" spans="2:23" x14ac:dyDescent="0.3">
      <c r="B42" s="49" t="s">
        <v>44</v>
      </c>
      <c r="C42" s="50"/>
      <c r="D42" s="50"/>
      <c r="E42" s="52" t="s">
        <v>23</v>
      </c>
      <c r="F42" s="50"/>
      <c r="G42" s="44">
        <v>0</v>
      </c>
      <c r="H42" s="44" t="str">
        <f t="shared" si="2"/>
        <v>0000</v>
      </c>
      <c r="W42" s="11"/>
    </row>
    <row r="43" spans="2:23" x14ac:dyDescent="0.3">
      <c r="B43" s="49" t="s">
        <v>45</v>
      </c>
      <c r="C43" s="50"/>
      <c r="D43" s="50"/>
      <c r="E43" s="52" t="s">
        <v>23</v>
      </c>
      <c r="F43" s="50"/>
      <c r="G43" s="44">
        <v>0</v>
      </c>
      <c r="H43" s="44" t="str">
        <f t="shared" si="2"/>
        <v>0000</v>
      </c>
      <c r="W43" s="11"/>
    </row>
    <row r="44" spans="2:23" x14ac:dyDescent="0.3">
      <c r="B44" s="49" t="s">
        <v>22</v>
      </c>
      <c r="C44" s="50"/>
      <c r="D44" s="50"/>
      <c r="E44" s="52" t="s">
        <v>46</v>
      </c>
      <c r="F44" s="50"/>
      <c r="G44" s="44">
        <v>1</v>
      </c>
      <c r="H44" s="44" t="str">
        <f>DEC2HEX(G44,2)</f>
        <v>01</v>
      </c>
      <c r="W44" s="11"/>
    </row>
    <row r="45" spans="2:23" ht="15" thickBot="1" x14ac:dyDescent="0.35">
      <c r="B45" s="23"/>
      <c r="C45" s="24"/>
      <c r="D45" s="24"/>
      <c r="E45" s="25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6"/>
    </row>
    <row r="46" spans="2:23" ht="15" thickTop="1" x14ac:dyDescent="0.3"/>
  </sheetData>
  <mergeCells count="49">
    <mergeCell ref="B2:E2"/>
    <mergeCell ref="B3:F3"/>
    <mergeCell ref="B24:D24"/>
    <mergeCell ref="E24:G24"/>
    <mergeCell ref="I24:W24"/>
    <mergeCell ref="U13:V18"/>
    <mergeCell ref="B25:D25"/>
    <mergeCell ref="E25:F25"/>
    <mergeCell ref="I25:W25"/>
    <mergeCell ref="B26:D26"/>
    <mergeCell ref="E26:F26"/>
    <mergeCell ref="I26:W27"/>
    <mergeCell ref="B27:D27"/>
    <mergeCell ref="E27:F27"/>
    <mergeCell ref="B28:D28"/>
    <mergeCell ref="E28:F28"/>
    <mergeCell ref="B29:D29"/>
    <mergeCell ref="E29:F29"/>
    <mergeCell ref="B30:D30"/>
    <mergeCell ref="E30:F30"/>
    <mergeCell ref="B31:D31"/>
    <mergeCell ref="E31:F31"/>
    <mergeCell ref="B32:D32"/>
    <mergeCell ref="E32:F32"/>
    <mergeCell ref="B33:D33"/>
    <mergeCell ref="E33:F33"/>
    <mergeCell ref="E39:F39"/>
    <mergeCell ref="B34:D34"/>
    <mergeCell ref="E34:F34"/>
    <mergeCell ref="B35:D35"/>
    <mergeCell ref="E35:F35"/>
    <mergeCell ref="B36:D36"/>
    <mergeCell ref="E36:F36"/>
    <mergeCell ref="B43:D43"/>
    <mergeCell ref="E43:F43"/>
    <mergeCell ref="B44:D44"/>
    <mergeCell ref="E44:F44"/>
    <mergeCell ref="B23:W23"/>
    <mergeCell ref="B40:D40"/>
    <mergeCell ref="E40:F40"/>
    <mergeCell ref="B41:D41"/>
    <mergeCell ref="E41:F41"/>
    <mergeCell ref="B42:D42"/>
    <mergeCell ref="E42:F42"/>
    <mergeCell ref="B37:D37"/>
    <mergeCell ref="E37:F37"/>
    <mergeCell ref="B38:D38"/>
    <mergeCell ref="E38:F38"/>
    <mergeCell ref="B39:D3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18C79-3887-6D4E-951C-DBE835092D5D}">
  <dimension ref="A1:X47"/>
  <sheetViews>
    <sheetView topLeftCell="A6" workbookViewId="0">
      <selection activeCell="G32" sqref="G32"/>
    </sheetView>
  </sheetViews>
  <sheetFormatPr baseColWidth="10" defaultColWidth="10.77734375" defaultRowHeight="14.4" x14ac:dyDescent="0.3"/>
  <cols>
    <col min="1" max="1" width="15" customWidth="1"/>
    <col min="2" max="2" width="7.77734375" customWidth="1"/>
    <col min="3" max="3" width="7" customWidth="1"/>
    <col min="4" max="4" width="13.33203125" customWidth="1"/>
    <col min="5" max="5" width="13" style="1" customWidth="1"/>
    <col min="6" max="6" width="25.77734375" customWidth="1"/>
    <col min="7" max="7" width="10" customWidth="1"/>
    <col min="8" max="8" width="11" customWidth="1"/>
    <col min="9" max="20" width="7.77734375" customWidth="1"/>
  </cols>
  <sheetData>
    <row r="1" spans="1:24" ht="15" thickBot="1" x14ac:dyDescent="0.35"/>
    <row r="2" spans="1:24" ht="18.600000000000001" thickTop="1" x14ac:dyDescent="0.35">
      <c r="B2" s="81" t="s">
        <v>0</v>
      </c>
      <c r="C2" s="82"/>
      <c r="D2" s="82"/>
      <c r="E2" s="82"/>
      <c r="F2" s="29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9"/>
    </row>
    <row r="3" spans="1:24" ht="18" x14ac:dyDescent="0.35">
      <c r="A3" s="2"/>
      <c r="B3" s="83" t="s">
        <v>109</v>
      </c>
      <c r="C3" s="84"/>
      <c r="D3" s="84"/>
      <c r="E3" s="84"/>
      <c r="F3" s="85"/>
      <c r="X3" s="11"/>
    </row>
    <row r="4" spans="1:24" x14ac:dyDescent="0.3">
      <c r="A4" s="2"/>
      <c r="B4" s="42"/>
      <c r="X4" s="11"/>
    </row>
    <row r="5" spans="1:24" x14ac:dyDescent="0.3">
      <c r="B5" s="12" t="s">
        <v>2</v>
      </c>
      <c r="C5" s="13" t="s">
        <v>3</v>
      </c>
      <c r="D5" s="14" t="s">
        <v>4</v>
      </c>
      <c r="E5" s="15" t="s">
        <v>5</v>
      </c>
      <c r="X5" s="11"/>
    </row>
    <row r="6" spans="1:24" x14ac:dyDescent="0.3">
      <c r="A6" s="2"/>
      <c r="B6" s="16">
        <v>1</v>
      </c>
      <c r="C6" s="44">
        <v>6</v>
      </c>
      <c r="D6" s="1" t="str">
        <f t="shared" ref="D6:D13" si="0">MID($B$3,B6,C6)</f>
        <v>0000D1</v>
      </c>
      <c r="E6" s="5">
        <f>HEX2DEC(D6)</f>
        <v>209</v>
      </c>
      <c r="F6" t="s">
        <v>6</v>
      </c>
      <c r="X6" s="11"/>
    </row>
    <row r="7" spans="1:24" x14ac:dyDescent="0.3">
      <c r="A7" s="2"/>
      <c r="B7" s="16">
        <f t="shared" ref="B7:B13" si="1">B6+C6</f>
        <v>7</v>
      </c>
      <c r="C7" s="44">
        <v>2</v>
      </c>
      <c r="D7" s="1" t="str">
        <f t="shared" si="0"/>
        <v>0E</v>
      </c>
      <c r="E7" s="5">
        <f>HEX2DEC(D7)</f>
        <v>14</v>
      </c>
      <c r="F7" t="s">
        <v>110</v>
      </c>
      <c r="X7" s="11"/>
    </row>
    <row r="8" spans="1:24" x14ac:dyDescent="0.3">
      <c r="A8" s="2"/>
      <c r="B8" s="16">
        <f t="shared" si="1"/>
        <v>9</v>
      </c>
      <c r="C8" s="44">
        <v>2</v>
      </c>
      <c r="D8" s="1" t="str">
        <f t="shared" si="0"/>
        <v>0A</v>
      </c>
      <c r="E8" s="5">
        <f>HEX2DEC(D8)</f>
        <v>10</v>
      </c>
      <c r="F8" t="s">
        <v>8</v>
      </c>
      <c r="X8" s="11"/>
    </row>
    <row r="9" spans="1:24" x14ac:dyDescent="0.3">
      <c r="A9" s="2"/>
      <c r="B9" s="16">
        <f t="shared" si="1"/>
        <v>11</v>
      </c>
      <c r="C9" s="44">
        <v>2</v>
      </c>
      <c r="D9" s="1" t="str">
        <f t="shared" si="0"/>
        <v>01</v>
      </c>
      <c r="E9" s="5" t="str">
        <f>HEX2BIN(D9,8)</f>
        <v>00000001</v>
      </c>
      <c r="F9" t="s">
        <v>9</v>
      </c>
      <c r="X9" s="11"/>
    </row>
    <row r="10" spans="1:24" x14ac:dyDescent="0.3">
      <c r="A10" s="2"/>
      <c r="B10" s="16">
        <f t="shared" si="1"/>
        <v>13</v>
      </c>
      <c r="C10" s="44">
        <v>4</v>
      </c>
      <c r="D10" s="1" t="str">
        <f t="shared" si="0"/>
        <v>00CA</v>
      </c>
      <c r="E10" s="5">
        <f>IF(LEFT(D10,1)&gt;="A",(HEX2DEC(D10)-65536)/10,HEX2DEC(D10)/10)</f>
        <v>20.2</v>
      </c>
      <c r="F10" t="s">
        <v>10</v>
      </c>
      <c r="X10" s="11"/>
    </row>
    <row r="11" spans="1:24" x14ac:dyDescent="0.3">
      <c r="A11" s="2"/>
      <c r="B11" s="16">
        <f t="shared" si="1"/>
        <v>17</v>
      </c>
      <c r="C11" s="44">
        <v>4</v>
      </c>
      <c r="D11" s="1" t="str">
        <f t="shared" si="0"/>
        <v>0182</v>
      </c>
      <c r="E11" s="17">
        <f>HEX2DEC(D11)/10</f>
        <v>38.6</v>
      </c>
      <c r="F11" t="s">
        <v>11</v>
      </c>
      <c r="X11" s="11"/>
    </row>
    <row r="12" spans="1:24" x14ac:dyDescent="0.3">
      <c r="A12" s="2"/>
      <c r="B12" s="16">
        <f t="shared" si="1"/>
        <v>21</v>
      </c>
      <c r="C12" s="44">
        <v>4</v>
      </c>
      <c r="D12" s="1" t="str">
        <f t="shared" si="0"/>
        <v>0001</v>
      </c>
      <c r="E12" s="5">
        <f>HEX2DEC(D12)</f>
        <v>1</v>
      </c>
      <c r="F12" t="s">
        <v>14</v>
      </c>
      <c r="G12" s="44" t="str">
        <f>HEX2BIN(MID(D12,1,2),8)</f>
        <v>00000000</v>
      </c>
      <c r="H12" s="44" t="str">
        <f>HEX2BIN(MID(D12,3,2),8)</f>
        <v>00000001</v>
      </c>
      <c r="I12" s="44">
        <f>IF((MID($G12,1,1)="0"),0,1)</f>
        <v>0</v>
      </c>
      <c r="J12" s="44">
        <f>IF((MID($G12,2,1)="0"),0,1)</f>
        <v>0</v>
      </c>
      <c r="K12" s="44">
        <f>IF((MID($G12,3,1)="0"),0,1)</f>
        <v>0</v>
      </c>
      <c r="L12" s="44">
        <f>IF((MID($G12,4,1)="0"),0,1)</f>
        <v>0</v>
      </c>
      <c r="M12" s="44">
        <f>IF((MID($G12,5,1)="0"),0,1)</f>
        <v>0</v>
      </c>
      <c r="N12" s="44">
        <f>IF((MID($G12,6,1)="0"),0,1)</f>
        <v>0</v>
      </c>
      <c r="O12" s="44">
        <f>IF((MID($G12,7,1)="0"),0,1)</f>
        <v>0</v>
      </c>
      <c r="P12" s="44">
        <f>IF((MID($G12,8,1)="0"),0,1)</f>
        <v>0</v>
      </c>
      <c r="Q12" s="44">
        <f>IF((MID($H12,1,1)="0"),0,1)</f>
        <v>0</v>
      </c>
      <c r="R12" s="44">
        <f>IF((MID($H12,2,1)="0"),0,1)</f>
        <v>0</v>
      </c>
      <c r="S12" s="44">
        <f>IF((MID($H12,3,1)="0"),0,1)</f>
        <v>0</v>
      </c>
      <c r="T12" s="44">
        <f>IF((MID($H12,4,1)="0"),0,1)</f>
        <v>0</v>
      </c>
      <c r="U12" s="20" t="str">
        <f>IF((MID($H12,5,1)="0"),"Hum Lo OK","Hum Lo Alm")</f>
        <v>Hum Lo OK</v>
      </c>
      <c r="V12" s="20" t="str">
        <f>IF((MID($H12,6,1)="0"),"Hum Hi OK","Hum Hi Alm")</f>
        <v>Hum Hi OK</v>
      </c>
      <c r="W12" s="20" t="str">
        <f>IF((MID($H12,7,1)="0"),"Temp Lo OK","Temp Lo Alm")</f>
        <v>Temp Lo OK</v>
      </c>
      <c r="X12" s="30" t="str">
        <f>IF((MID($H12,8,1)="0"),"Temp Hi OK","Temp Hi Alm")</f>
        <v>Temp Hi Alm</v>
      </c>
    </row>
    <row r="13" spans="1:24" x14ac:dyDescent="0.3">
      <c r="A13" s="2"/>
      <c r="B13" s="16">
        <f t="shared" si="1"/>
        <v>25</v>
      </c>
      <c r="C13" s="44">
        <v>4</v>
      </c>
      <c r="D13" s="1" t="str">
        <f t="shared" si="0"/>
        <v>0000</v>
      </c>
      <c r="E13" s="5">
        <f>HEX2DEC(D13)</f>
        <v>0</v>
      </c>
      <c r="F13" s="21" t="s">
        <v>15</v>
      </c>
      <c r="G13" s="44" t="str">
        <f>HEX2BIN(MID(D13,1,2),8)</f>
        <v>00000000</v>
      </c>
      <c r="H13" s="44" t="str">
        <f>HEX2BIN(MID(D13,3,2),8)</f>
        <v>00000000</v>
      </c>
      <c r="I13" s="44">
        <f>IF((MID($G13,1,1)="0"),0,1)</f>
        <v>0</v>
      </c>
      <c r="J13" s="44">
        <f>IF((MID($G13,2,1)="0"),0,1)</f>
        <v>0</v>
      </c>
      <c r="K13" s="44">
        <f>IF((MID($G13,3,1)="0"),0,1)</f>
        <v>0</v>
      </c>
      <c r="L13" s="44">
        <f>IF((MID($G13,4,1)="0"),0,1)</f>
        <v>0</v>
      </c>
      <c r="M13" s="44">
        <f>IF((MID($G13,5,1)="0"),0,1)</f>
        <v>0</v>
      </c>
      <c r="N13" s="44">
        <f>IF((MID($G13,6,1)="0"),0,1)</f>
        <v>0</v>
      </c>
      <c r="O13" s="44">
        <f>IF((MID($G13,7,1)="0"),0,1)</f>
        <v>0</v>
      </c>
      <c r="P13" s="44">
        <f>IF((MID($G13,8,1)="0"),0,1)</f>
        <v>0</v>
      </c>
      <c r="Q13" s="44">
        <f>IF((MID($H13,1,1)="0"),0,1)</f>
        <v>0</v>
      </c>
      <c r="R13" s="44">
        <f>IF((MID($H13,2,1)="0"),0,1)</f>
        <v>0</v>
      </c>
      <c r="S13" s="44">
        <f>IF((MID($H13,3,1)="0"),0,1)</f>
        <v>0</v>
      </c>
      <c r="T13" s="44">
        <f>IF((MID($H13,4,1)="0"),0,1)</f>
        <v>0</v>
      </c>
      <c r="U13" s="3">
        <f>IF((MID($H13,5,1)="0"),0,1)</f>
        <v>0</v>
      </c>
      <c r="V13" s="4">
        <f>IF((MID($H13,6,1)="0"),0,1)</f>
        <v>0</v>
      </c>
      <c r="W13" s="20">
        <f>IF((MID($H13,7,1)="0"),0,1)</f>
        <v>0</v>
      </c>
      <c r="X13" s="30" t="str">
        <f>IF((MID($H13,8,1)="0"),"Normal","Alarm")</f>
        <v>Normal</v>
      </c>
    </row>
    <row r="14" spans="1:24" ht="15" customHeight="1" x14ac:dyDescent="0.3">
      <c r="A14" s="2"/>
      <c r="B14" s="16"/>
      <c r="C14" s="44"/>
      <c r="D14" s="1"/>
      <c r="E14" s="17"/>
      <c r="U14" s="76" t="s">
        <v>16</v>
      </c>
      <c r="V14" s="77"/>
      <c r="W14" s="44"/>
      <c r="X14" s="36"/>
    </row>
    <row r="15" spans="1:24" x14ac:dyDescent="0.3">
      <c r="B15" s="22"/>
      <c r="E15" s="17"/>
      <c r="U15" s="78"/>
      <c r="V15" s="77"/>
      <c r="W15" s="44"/>
      <c r="X15" s="36"/>
    </row>
    <row r="16" spans="1:24" x14ac:dyDescent="0.3">
      <c r="B16" s="22"/>
      <c r="E16" s="17"/>
      <c r="U16" s="78"/>
      <c r="V16" s="77"/>
      <c r="W16" s="44"/>
      <c r="X16" s="36"/>
    </row>
    <row r="17" spans="2:24" x14ac:dyDescent="0.3">
      <c r="B17" s="22"/>
      <c r="E17" s="17"/>
      <c r="U17" s="78"/>
      <c r="V17" s="77"/>
      <c r="W17" s="44"/>
      <c r="X17" s="36"/>
    </row>
    <row r="18" spans="2:24" x14ac:dyDescent="0.3">
      <c r="B18" s="22"/>
      <c r="U18" s="78"/>
      <c r="V18" s="77"/>
      <c r="W18" s="44"/>
      <c r="X18" s="36"/>
    </row>
    <row r="19" spans="2:24" x14ac:dyDescent="0.3">
      <c r="B19" s="22"/>
      <c r="U19" s="79"/>
      <c r="V19" s="80"/>
      <c r="W19" s="44"/>
      <c r="X19" s="36"/>
    </row>
    <row r="20" spans="2:24" ht="15" thickBot="1" x14ac:dyDescent="0.35">
      <c r="B20" s="23"/>
      <c r="C20" s="24"/>
      <c r="D20" s="24"/>
      <c r="E20" s="25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6"/>
    </row>
    <row r="21" spans="2:24" ht="15" thickTop="1" x14ac:dyDescent="0.3"/>
    <row r="23" spans="2:24" ht="15" thickBot="1" x14ac:dyDescent="0.35"/>
    <row r="24" spans="2:24" ht="27" thickTop="1" thickBot="1" x14ac:dyDescent="0.55000000000000004">
      <c r="B24" s="73" t="s">
        <v>17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5"/>
    </row>
    <row r="25" spans="2:24" ht="45" customHeight="1" thickTop="1" x14ac:dyDescent="0.35">
      <c r="B25" s="71" t="s">
        <v>18</v>
      </c>
      <c r="C25" s="56"/>
      <c r="D25" s="56"/>
      <c r="E25" s="60" t="s">
        <v>19</v>
      </c>
      <c r="F25" s="61"/>
      <c r="G25" s="62"/>
      <c r="H25" s="45" t="s">
        <v>20</v>
      </c>
      <c r="I25" s="55" t="s">
        <v>21</v>
      </c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7"/>
      <c r="V25" s="57"/>
      <c r="W25" s="58"/>
    </row>
    <row r="26" spans="2:24" x14ac:dyDescent="0.3">
      <c r="B26" s="72"/>
      <c r="C26" s="50"/>
      <c r="D26" s="50"/>
      <c r="E26" s="51"/>
      <c r="F26" s="50"/>
      <c r="G26" s="43"/>
      <c r="H26" s="43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9"/>
    </row>
    <row r="27" spans="2:24" x14ac:dyDescent="0.3">
      <c r="B27" s="64" t="s">
        <v>22</v>
      </c>
      <c r="C27" s="50"/>
      <c r="D27" s="50"/>
      <c r="E27" s="52" t="s">
        <v>23</v>
      </c>
      <c r="F27" s="50"/>
      <c r="G27" s="44">
        <v>0</v>
      </c>
      <c r="H27" s="44" t="str">
        <f>DEC2HEX(G27,6)</f>
        <v>000000</v>
      </c>
      <c r="I27" s="53" t="str">
        <f>H27&amp;H28&amp;H29&amp;H30&amp;H31&amp;H32&amp;H33&amp;H34&amp;H35&amp;H36&amp;H37&amp;H38&amp;H39&amp;H40&amp;H41&amp;H42&amp;H43&amp;H44&amp;H45</f>
        <v>000000030000012C00000000015E00C8032001900000000000000000000000000000000001</v>
      </c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4"/>
      <c r="U27" s="53"/>
      <c r="V27" s="53"/>
      <c r="W27" s="54"/>
    </row>
    <row r="28" spans="2:24" x14ac:dyDescent="0.3">
      <c r="B28" s="64" t="s">
        <v>24</v>
      </c>
      <c r="C28" s="50"/>
      <c r="D28" s="50"/>
      <c r="E28" s="52" t="s">
        <v>25</v>
      </c>
      <c r="F28" s="50"/>
      <c r="G28" s="44">
        <v>3</v>
      </c>
      <c r="H28" s="44" t="str">
        <f>DEC2HEX(G28,2)</f>
        <v>03</v>
      </c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4"/>
      <c r="U28" s="53"/>
      <c r="V28" s="53"/>
      <c r="W28" s="54"/>
    </row>
    <row r="29" spans="2:24" x14ac:dyDescent="0.3">
      <c r="B29" s="64" t="s">
        <v>22</v>
      </c>
      <c r="C29" s="50"/>
      <c r="D29" s="50"/>
      <c r="E29" s="52" t="s">
        <v>23</v>
      </c>
      <c r="F29" s="50"/>
      <c r="G29" s="44">
        <v>0</v>
      </c>
      <c r="H29" s="44" t="str">
        <f>DEC2HEX(G29,4)</f>
        <v>0000</v>
      </c>
      <c r="W29" s="11"/>
    </row>
    <row r="30" spans="2:24" x14ac:dyDescent="0.3">
      <c r="B30" s="64" t="s">
        <v>26</v>
      </c>
      <c r="C30" s="50"/>
      <c r="D30" s="50"/>
      <c r="E30" s="52" t="s">
        <v>27</v>
      </c>
      <c r="F30" s="50"/>
      <c r="G30" s="27">
        <v>5</v>
      </c>
      <c r="H30" s="44" t="str">
        <f>DEC2HEX(G30*60,4)</f>
        <v>012C</v>
      </c>
      <c r="W30" s="11"/>
    </row>
    <row r="31" spans="2:24" x14ac:dyDescent="0.3">
      <c r="B31" s="64" t="s">
        <v>22</v>
      </c>
      <c r="C31" s="50"/>
      <c r="D31" s="50"/>
      <c r="E31" s="52" t="s">
        <v>28</v>
      </c>
      <c r="F31" s="50"/>
      <c r="G31" s="103">
        <v>0</v>
      </c>
      <c r="H31" s="44" t="str">
        <f t="shared" ref="H31:H44" si="2">DEC2HEX(G31,4)</f>
        <v>0000</v>
      </c>
      <c r="W31" s="11"/>
    </row>
    <row r="32" spans="2:24" x14ac:dyDescent="0.3">
      <c r="B32" s="64" t="s">
        <v>22</v>
      </c>
      <c r="C32" s="50"/>
      <c r="D32" s="50"/>
      <c r="E32" s="52" t="s">
        <v>29</v>
      </c>
      <c r="F32" s="50"/>
      <c r="G32" s="103">
        <v>0</v>
      </c>
      <c r="H32" s="44" t="str">
        <f>DEC2HEX(G32*3600,4)</f>
        <v>0000</v>
      </c>
      <c r="W32" s="11"/>
    </row>
    <row r="33" spans="2:23" x14ac:dyDescent="0.3">
      <c r="B33" s="64" t="s">
        <v>30</v>
      </c>
      <c r="C33" s="50"/>
      <c r="D33" s="50"/>
      <c r="E33" s="52" t="s">
        <v>31</v>
      </c>
      <c r="F33" s="50"/>
      <c r="G33" s="28">
        <v>35</v>
      </c>
      <c r="H33" s="44" t="str">
        <f>IF(G33&lt;0,DEC2HEX(65536+(G33*10),4),DEC2HEX(G33*10,4))</f>
        <v>015E</v>
      </c>
      <c r="W33" s="11"/>
    </row>
    <row r="34" spans="2:23" x14ac:dyDescent="0.3">
      <c r="B34" s="64" t="s">
        <v>32</v>
      </c>
      <c r="C34" s="50"/>
      <c r="D34" s="50"/>
      <c r="E34" s="52" t="s">
        <v>33</v>
      </c>
      <c r="F34" s="50"/>
      <c r="G34" s="28">
        <v>20</v>
      </c>
      <c r="H34" s="44" t="str">
        <f>IF(G34&lt;0,DEC2HEX(65536+(G34*10),4),DEC2HEX(G34*10,4))</f>
        <v>00C8</v>
      </c>
      <c r="W34" s="11"/>
    </row>
    <row r="35" spans="2:23" x14ac:dyDescent="0.3">
      <c r="B35" s="64" t="s">
        <v>34</v>
      </c>
      <c r="C35" s="50"/>
      <c r="D35" s="50"/>
      <c r="E35" s="52" t="s">
        <v>35</v>
      </c>
      <c r="F35" s="50"/>
      <c r="G35" s="28">
        <v>80</v>
      </c>
      <c r="H35" s="44" t="str">
        <f>DEC2HEX(G35*10,4)</f>
        <v>0320</v>
      </c>
      <c r="W35" s="11"/>
    </row>
    <row r="36" spans="2:23" x14ac:dyDescent="0.3">
      <c r="B36" s="65" t="s">
        <v>36</v>
      </c>
      <c r="C36" s="50"/>
      <c r="D36" s="50"/>
      <c r="E36" s="63" t="s">
        <v>37</v>
      </c>
      <c r="F36" s="50"/>
      <c r="G36" s="28">
        <v>40</v>
      </c>
      <c r="H36" s="44" t="str">
        <f>DEC2HEX(G36*10,4)</f>
        <v>0190</v>
      </c>
      <c r="W36" s="11"/>
    </row>
    <row r="37" spans="2:23" x14ac:dyDescent="0.3">
      <c r="B37" s="49" t="s">
        <v>38</v>
      </c>
      <c r="C37" s="50"/>
      <c r="D37" s="50"/>
      <c r="E37" s="52" t="s">
        <v>23</v>
      </c>
      <c r="F37" s="50"/>
      <c r="G37" s="44">
        <v>0</v>
      </c>
      <c r="H37" s="44" t="str">
        <f t="shared" si="2"/>
        <v>0000</v>
      </c>
      <c r="W37" s="11"/>
    </row>
    <row r="38" spans="2:23" x14ac:dyDescent="0.3">
      <c r="B38" s="49" t="s">
        <v>39</v>
      </c>
      <c r="C38" s="50"/>
      <c r="D38" s="50"/>
      <c r="E38" s="52" t="s">
        <v>23</v>
      </c>
      <c r="F38" s="50"/>
      <c r="G38" s="44">
        <v>0</v>
      </c>
      <c r="H38" s="44" t="str">
        <f t="shared" si="2"/>
        <v>0000</v>
      </c>
      <c r="W38" s="11"/>
    </row>
    <row r="39" spans="2:23" x14ac:dyDescent="0.3">
      <c r="B39" s="49" t="s">
        <v>40</v>
      </c>
      <c r="C39" s="50"/>
      <c r="D39" s="50"/>
      <c r="E39" s="52" t="s">
        <v>23</v>
      </c>
      <c r="F39" s="50"/>
      <c r="G39" s="44">
        <v>0</v>
      </c>
      <c r="H39" s="44" t="str">
        <f t="shared" si="2"/>
        <v>0000</v>
      </c>
      <c r="W39" s="11"/>
    </row>
    <row r="40" spans="2:23" x14ac:dyDescent="0.3">
      <c r="B40" s="49" t="s">
        <v>41</v>
      </c>
      <c r="C40" s="50"/>
      <c r="D40" s="50"/>
      <c r="E40" s="52" t="s">
        <v>23</v>
      </c>
      <c r="F40" s="50"/>
      <c r="G40" s="44">
        <v>0</v>
      </c>
      <c r="H40" s="44" t="str">
        <f t="shared" si="2"/>
        <v>0000</v>
      </c>
      <c r="W40" s="11"/>
    </row>
    <row r="41" spans="2:23" x14ac:dyDescent="0.3">
      <c r="B41" s="49" t="s">
        <v>42</v>
      </c>
      <c r="C41" s="50"/>
      <c r="D41" s="50"/>
      <c r="E41" s="52" t="s">
        <v>23</v>
      </c>
      <c r="F41" s="50"/>
      <c r="G41" s="44">
        <v>0</v>
      </c>
      <c r="H41" s="44" t="str">
        <f t="shared" si="2"/>
        <v>0000</v>
      </c>
      <c r="W41" s="11"/>
    </row>
    <row r="42" spans="2:23" x14ac:dyDescent="0.3">
      <c r="B42" s="49" t="s">
        <v>43</v>
      </c>
      <c r="C42" s="50"/>
      <c r="D42" s="50"/>
      <c r="E42" s="52" t="s">
        <v>23</v>
      </c>
      <c r="F42" s="50"/>
      <c r="G42" s="44">
        <v>0</v>
      </c>
      <c r="H42" s="44" t="str">
        <f t="shared" si="2"/>
        <v>0000</v>
      </c>
      <c r="W42" s="11"/>
    </row>
    <row r="43" spans="2:23" x14ac:dyDescent="0.3">
      <c r="B43" s="49" t="s">
        <v>44</v>
      </c>
      <c r="C43" s="50"/>
      <c r="D43" s="50"/>
      <c r="E43" s="52" t="s">
        <v>23</v>
      </c>
      <c r="F43" s="50"/>
      <c r="G43" s="44">
        <v>0</v>
      </c>
      <c r="H43" s="44" t="str">
        <f t="shared" si="2"/>
        <v>0000</v>
      </c>
      <c r="W43" s="11"/>
    </row>
    <row r="44" spans="2:23" x14ac:dyDescent="0.3">
      <c r="B44" s="49" t="s">
        <v>45</v>
      </c>
      <c r="C44" s="50"/>
      <c r="D44" s="50"/>
      <c r="E44" s="52" t="s">
        <v>23</v>
      </c>
      <c r="F44" s="50"/>
      <c r="G44" s="44">
        <v>0</v>
      </c>
      <c r="H44" s="44" t="str">
        <f t="shared" si="2"/>
        <v>0000</v>
      </c>
      <c r="W44" s="11"/>
    </row>
    <row r="45" spans="2:23" x14ac:dyDescent="0.3">
      <c r="B45" s="49" t="s">
        <v>22</v>
      </c>
      <c r="C45" s="50"/>
      <c r="D45" s="50"/>
      <c r="E45" s="52" t="s">
        <v>46</v>
      </c>
      <c r="F45" s="50"/>
      <c r="G45" s="44">
        <v>1</v>
      </c>
      <c r="H45" s="44" t="str">
        <f>DEC2HEX(G45,2)</f>
        <v>01</v>
      </c>
      <c r="W45" s="11"/>
    </row>
    <row r="46" spans="2:23" ht="15" thickBot="1" x14ac:dyDescent="0.35">
      <c r="B46" s="23"/>
      <c r="C46" s="24"/>
      <c r="D46" s="24"/>
      <c r="E46" s="25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6"/>
    </row>
    <row r="47" spans="2:23" ht="15" thickTop="1" x14ac:dyDescent="0.3"/>
  </sheetData>
  <mergeCells count="49">
    <mergeCell ref="B2:E2"/>
    <mergeCell ref="B3:F3"/>
    <mergeCell ref="B25:D25"/>
    <mergeCell ref="E25:G25"/>
    <mergeCell ref="I25:W25"/>
    <mergeCell ref="U14:V19"/>
    <mergeCell ref="B26:D26"/>
    <mergeCell ref="E26:F26"/>
    <mergeCell ref="I26:W26"/>
    <mergeCell ref="B27:D27"/>
    <mergeCell ref="E27:F27"/>
    <mergeCell ref="I27:W28"/>
    <mergeCell ref="B28:D28"/>
    <mergeCell ref="E28:F28"/>
    <mergeCell ref="B29:D29"/>
    <mergeCell ref="E29:F29"/>
    <mergeCell ref="B30:D30"/>
    <mergeCell ref="E30:F30"/>
    <mergeCell ref="B31:D31"/>
    <mergeCell ref="E31:F31"/>
    <mergeCell ref="B32:D32"/>
    <mergeCell ref="E32:F32"/>
    <mergeCell ref="B33:D33"/>
    <mergeCell ref="E33:F33"/>
    <mergeCell ref="B34:D34"/>
    <mergeCell ref="E34:F34"/>
    <mergeCell ref="E40:F40"/>
    <mergeCell ref="B35:D35"/>
    <mergeCell ref="E35:F35"/>
    <mergeCell ref="B36:D36"/>
    <mergeCell ref="E36:F36"/>
    <mergeCell ref="B37:D37"/>
    <mergeCell ref="E37:F37"/>
    <mergeCell ref="B44:D44"/>
    <mergeCell ref="E44:F44"/>
    <mergeCell ref="B45:D45"/>
    <mergeCell ref="E45:F45"/>
    <mergeCell ref="B24:W24"/>
    <mergeCell ref="B41:D41"/>
    <mergeCell ref="E41:F41"/>
    <mergeCell ref="B42:D42"/>
    <mergeCell ref="E42:F42"/>
    <mergeCell ref="B43:D43"/>
    <mergeCell ref="E43:F43"/>
    <mergeCell ref="B38:D38"/>
    <mergeCell ref="E38:F38"/>
    <mergeCell ref="B39:D39"/>
    <mergeCell ref="E39:F39"/>
    <mergeCell ref="B40:D4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4D2B6-79B0-DF47-A641-DCF346429BE2}">
  <dimension ref="A1:X47"/>
  <sheetViews>
    <sheetView topLeftCell="A9" workbookViewId="0">
      <selection activeCell="G32" sqref="G32"/>
    </sheetView>
  </sheetViews>
  <sheetFormatPr baseColWidth="10" defaultColWidth="10.77734375" defaultRowHeight="14.4" x14ac:dyDescent="0.3"/>
  <cols>
    <col min="1" max="1" width="15" customWidth="1"/>
    <col min="2" max="2" width="7.77734375" customWidth="1"/>
    <col min="3" max="3" width="7" customWidth="1"/>
    <col min="4" max="4" width="14.33203125" customWidth="1"/>
    <col min="5" max="5" width="13" style="1" customWidth="1"/>
    <col min="6" max="6" width="26.33203125" customWidth="1"/>
    <col min="7" max="7" width="10.44140625" customWidth="1"/>
    <col min="8" max="8" width="9.6640625" customWidth="1"/>
    <col min="9" max="22" width="7.77734375" customWidth="1"/>
  </cols>
  <sheetData>
    <row r="1" spans="1:24" ht="15" thickBot="1" x14ac:dyDescent="0.35"/>
    <row r="2" spans="1:24" ht="18.600000000000001" thickTop="1" x14ac:dyDescent="0.35">
      <c r="B2" s="81" t="s">
        <v>0</v>
      </c>
      <c r="C2" s="82"/>
      <c r="D2" s="82"/>
      <c r="E2" s="82"/>
      <c r="F2" s="29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9"/>
    </row>
    <row r="3" spans="1:24" ht="18" x14ac:dyDescent="0.35">
      <c r="A3" s="2"/>
      <c r="B3" s="83" t="s">
        <v>111</v>
      </c>
      <c r="C3" s="84"/>
      <c r="D3" s="84"/>
      <c r="E3" s="84"/>
      <c r="F3" s="85"/>
      <c r="X3" s="11"/>
    </row>
    <row r="4" spans="1:24" x14ac:dyDescent="0.3">
      <c r="A4" s="2"/>
      <c r="B4" s="42"/>
      <c r="X4" s="11"/>
    </row>
    <row r="5" spans="1:24" x14ac:dyDescent="0.3">
      <c r="B5" s="12" t="s">
        <v>2</v>
      </c>
      <c r="C5" s="13" t="s">
        <v>3</v>
      </c>
      <c r="D5" s="14" t="s">
        <v>4</v>
      </c>
      <c r="E5" s="15" t="s">
        <v>5</v>
      </c>
      <c r="X5" s="11"/>
    </row>
    <row r="6" spans="1:24" x14ac:dyDescent="0.3">
      <c r="A6" s="2"/>
      <c r="B6" s="16">
        <v>1</v>
      </c>
      <c r="C6" s="44">
        <v>6</v>
      </c>
      <c r="D6" s="1" t="str">
        <f t="shared" ref="D6:D13" si="0">MID($B$3,B6,C6)</f>
        <v>0000DC</v>
      </c>
      <c r="E6" s="5">
        <f>HEX2DEC(D6)</f>
        <v>220</v>
      </c>
      <c r="F6" t="s">
        <v>6</v>
      </c>
      <c r="X6" s="11"/>
    </row>
    <row r="7" spans="1:24" x14ac:dyDescent="0.3">
      <c r="A7" s="2"/>
      <c r="B7" s="16">
        <f t="shared" ref="B7:B13" si="1">B6+C6</f>
        <v>7</v>
      </c>
      <c r="C7" s="44">
        <v>2</v>
      </c>
      <c r="D7" s="1" t="str">
        <f t="shared" si="0"/>
        <v>0F</v>
      </c>
      <c r="E7" s="5">
        <f>HEX2DEC(D7)</f>
        <v>15</v>
      </c>
      <c r="F7" t="s">
        <v>112</v>
      </c>
      <c r="X7" s="11"/>
    </row>
    <row r="8" spans="1:24" x14ac:dyDescent="0.3">
      <c r="A8" s="2"/>
      <c r="B8" s="16">
        <f t="shared" si="1"/>
        <v>9</v>
      </c>
      <c r="C8" s="44">
        <v>2</v>
      </c>
      <c r="D8" s="1" t="str">
        <f t="shared" si="0"/>
        <v>0A</v>
      </c>
      <c r="E8" s="5">
        <f>HEX2DEC(D8)</f>
        <v>10</v>
      </c>
      <c r="F8" t="s">
        <v>8</v>
      </c>
      <c r="X8" s="11"/>
    </row>
    <row r="9" spans="1:24" x14ac:dyDescent="0.3">
      <c r="A9" s="2"/>
      <c r="B9" s="16">
        <f t="shared" si="1"/>
        <v>11</v>
      </c>
      <c r="C9" s="44">
        <v>2</v>
      </c>
      <c r="D9" s="1" t="str">
        <f t="shared" si="0"/>
        <v>01</v>
      </c>
      <c r="E9" s="5" t="str">
        <f>HEX2BIN(D9,8)</f>
        <v>00000001</v>
      </c>
      <c r="F9" t="s">
        <v>9</v>
      </c>
      <c r="X9" s="11"/>
    </row>
    <row r="10" spans="1:24" x14ac:dyDescent="0.3">
      <c r="A10" s="2"/>
      <c r="B10" s="16">
        <f t="shared" si="1"/>
        <v>13</v>
      </c>
      <c r="C10" s="44">
        <v>4</v>
      </c>
      <c r="D10" s="1" t="str">
        <f t="shared" si="0"/>
        <v>00D0</v>
      </c>
      <c r="E10" s="5">
        <f>IF(LEFT(D10,1)&gt;="A",(HEX2DEC(D10)-65536)/10,HEX2DEC(D10)/10)</f>
        <v>20.8</v>
      </c>
      <c r="F10" t="s">
        <v>10</v>
      </c>
      <c r="X10" s="11"/>
    </row>
    <row r="11" spans="1:24" x14ac:dyDescent="0.3">
      <c r="A11" s="2"/>
      <c r="B11" s="16">
        <f t="shared" si="1"/>
        <v>17</v>
      </c>
      <c r="C11" s="44">
        <v>4</v>
      </c>
      <c r="D11" s="1" t="str">
        <f t="shared" si="0"/>
        <v>0000</v>
      </c>
      <c r="E11" s="5">
        <f>IF(LEFT(D11,1)&gt;="A",(HEX2DEC(D11)-65536)/10,HEX2DEC(D11)/10)</f>
        <v>0</v>
      </c>
      <c r="F11" t="s">
        <v>56</v>
      </c>
      <c r="X11" s="11"/>
    </row>
    <row r="12" spans="1:24" x14ac:dyDescent="0.3">
      <c r="A12" s="2"/>
      <c r="B12" s="16">
        <f t="shared" si="1"/>
        <v>21</v>
      </c>
      <c r="C12" s="44">
        <v>4</v>
      </c>
      <c r="D12" s="1" t="str">
        <f t="shared" si="0"/>
        <v>0000</v>
      </c>
      <c r="E12" s="5">
        <f>HEX2DEC(D12)</f>
        <v>0</v>
      </c>
      <c r="F12" t="s">
        <v>14</v>
      </c>
      <c r="G12" s="44" t="str">
        <f>HEX2BIN(MID(D12,1,2),8)</f>
        <v>00000000</v>
      </c>
      <c r="H12" s="44" t="str">
        <f>HEX2BIN(MID(D12,3,2),8)</f>
        <v>00000000</v>
      </c>
      <c r="I12" s="44">
        <f>IF((MID($G12,1,1)="0"),0,1)</f>
        <v>0</v>
      </c>
      <c r="J12" s="44">
        <f>IF((MID($G12,2,1)="0"),0,1)</f>
        <v>0</v>
      </c>
      <c r="K12" s="44">
        <f>IF((MID($G12,3,1)="0"),0,1)</f>
        <v>0</v>
      </c>
      <c r="L12" s="44">
        <f>IF((MID($G12,4,1)="0"),0,1)</f>
        <v>0</v>
      </c>
      <c r="M12" s="44">
        <f>IF((MID($G12,5,1)="0"),0,1)</f>
        <v>0</v>
      </c>
      <c r="N12" s="44">
        <f>IF((MID($G12,6,1)="0"),0,1)</f>
        <v>0</v>
      </c>
      <c r="O12" s="44">
        <f>IF((MID($G12,7,1)="0"),0,1)</f>
        <v>0</v>
      </c>
      <c r="P12" s="44">
        <f>IF((MID($G12,8,1)="0"),0,1)</f>
        <v>0</v>
      </c>
      <c r="Q12" s="44">
        <f>IF((MID($H12,1,1)="0"),0,1)</f>
        <v>0</v>
      </c>
      <c r="R12" s="44">
        <f>IF((MID($H12,2,1)="0"),0,1)</f>
        <v>0</v>
      </c>
      <c r="S12" s="44">
        <f>IF((MID($H12,3,1)="0"),0,1)</f>
        <v>0</v>
      </c>
      <c r="T12" s="44">
        <f>IF((MID($H12,4,1)="0"),0,1)</f>
        <v>0</v>
      </c>
      <c r="U12" s="44">
        <f>IF((MID($H12,5,1)="0"),0,1)</f>
        <v>0</v>
      </c>
      <c r="V12" s="44">
        <f>IF((MID($H12,6,1)="0"),0,1)</f>
        <v>0</v>
      </c>
      <c r="W12" s="20" t="str">
        <f>IF((MID($H12,7,1)="0"),"Temp Lo OK","Temp Lo Alm")</f>
        <v>Temp Lo OK</v>
      </c>
      <c r="X12" s="30" t="str">
        <f>IF((MID($H12,8,1)="0"),"Temp Hi OK","Temp Hi Alm")</f>
        <v>Temp Hi OK</v>
      </c>
    </row>
    <row r="13" spans="1:24" x14ac:dyDescent="0.3">
      <c r="A13" s="2"/>
      <c r="B13" s="16">
        <f t="shared" si="1"/>
        <v>25</v>
      </c>
      <c r="C13" s="44">
        <v>4</v>
      </c>
      <c r="D13" s="1" t="str">
        <f t="shared" si="0"/>
        <v>0000</v>
      </c>
      <c r="E13" s="5">
        <f>HEX2DEC(D13)</f>
        <v>0</v>
      </c>
      <c r="F13" s="21" t="s">
        <v>15</v>
      </c>
      <c r="G13" s="44" t="str">
        <f>HEX2BIN(MID(D13,1,2),8)</f>
        <v>00000000</v>
      </c>
      <c r="H13" s="44" t="str">
        <f>HEX2BIN(MID(D13,3,2),8)</f>
        <v>00000000</v>
      </c>
      <c r="I13" s="44">
        <f>IF((MID($G13,1,1)="0"),0,1)</f>
        <v>0</v>
      </c>
      <c r="J13" s="44">
        <f>IF((MID($G13,2,1)="0"),0,1)</f>
        <v>0</v>
      </c>
      <c r="K13" s="44">
        <f>IF((MID($G13,3,1)="0"),0,1)</f>
        <v>0</v>
      </c>
      <c r="L13" s="44">
        <f>IF((MID($G13,4,1)="0"),0,1)</f>
        <v>0</v>
      </c>
      <c r="M13" s="44">
        <f>IF((MID($G13,5,1)="0"),0,1)</f>
        <v>0</v>
      </c>
      <c r="N13" s="44">
        <f>IF((MID($G13,6,1)="0"),0,1)</f>
        <v>0</v>
      </c>
      <c r="O13" s="44">
        <f>IF((MID($G13,7,1)="0"),0,1)</f>
        <v>0</v>
      </c>
      <c r="P13" s="44">
        <f>IF((MID($G13,8,1)="0"),0,1)</f>
        <v>0</v>
      </c>
      <c r="Q13" s="44">
        <f>IF((MID($H13,1,1)="0"),0,1)</f>
        <v>0</v>
      </c>
      <c r="R13" s="44">
        <f>IF((MID($H13,2,1)="0"),0,1)</f>
        <v>0</v>
      </c>
      <c r="S13" s="44">
        <f>IF((MID($H13,3,1)="0"),0,1)</f>
        <v>0</v>
      </c>
      <c r="T13" s="44">
        <f>IF((MID($H13,4,1)="0"),0,1)</f>
        <v>0</v>
      </c>
      <c r="U13" s="3">
        <f>IF((MID($H13,5,1)="0"),0,1)</f>
        <v>0</v>
      </c>
      <c r="V13" s="4">
        <f>IF((MID($H13,6,1)="0"),0,1)</f>
        <v>0</v>
      </c>
      <c r="W13" s="20">
        <f>IF((MID($H13,7,1)="0"),0,1)</f>
        <v>0</v>
      </c>
      <c r="X13" s="30" t="str">
        <f>IF((MID($H13,8,1)="0"),"Normal","Alarm")</f>
        <v>Normal</v>
      </c>
    </row>
    <row r="14" spans="1:24" ht="15" customHeight="1" x14ac:dyDescent="0.3">
      <c r="A14" s="2"/>
      <c r="B14" s="16"/>
      <c r="C14" s="44"/>
      <c r="D14" s="1"/>
      <c r="E14" s="17"/>
      <c r="U14" s="76" t="s">
        <v>16</v>
      </c>
      <c r="V14" s="77"/>
      <c r="W14" s="44"/>
      <c r="X14" s="36"/>
    </row>
    <row r="15" spans="1:24" x14ac:dyDescent="0.3">
      <c r="B15" s="22"/>
      <c r="E15" s="17"/>
      <c r="U15" s="78"/>
      <c r="V15" s="77"/>
      <c r="W15" s="44"/>
      <c r="X15" s="36"/>
    </row>
    <row r="16" spans="1:24" x14ac:dyDescent="0.3">
      <c r="B16" s="22"/>
      <c r="E16" s="17"/>
      <c r="U16" s="78"/>
      <c r="V16" s="77"/>
      <c r="W16" s="44"/>
      <c r="X16" s="36"/>
    </row>
    <row r="17" spans="2:24" x14ac:dyDescent="0.3">
      <c r="B17" s="22"/>
      <c r="E17" s="17"/>
      <c r="U17" s="78"/>
      <c r="V17" s="77"/>
      <c r="W17" s="44"/>
      <c r="X17" s="36"/>
    </row>
    <row r="18" spans="2:24" x14ac:dyDescent="0.3">
      <c r="B18" s="22"/>
      <c r="U18" s="78"/>
      <c r="V18" s="77"/>
      <c r="W18" s="44"/>
      <c r="X18" s="36"/>
    </row>
    <row r="19" spans="2:24" x14ac:dyDescent="0.3">
      <c r="B19" s="22"/>
      <c r="U19" s="79"/>
      <c r="V19" s="80"/>
      <c r="W19" s="44"/>
      <c r="X19" s="36"/>
    </row>
    <row r="20" spans="2:24" ht="15" thickBot="1" x14ac:dyDescent="0.35">
      <c r="B20" s="23"/>
      <c r="C20" s="24"/>
      <c r="D20" s="24"/>
      <c r="E20" s="25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6"/>
    </row>
    <row r="21" spans="2:24" ht="15" thickTop="1" x14ac:dyDescent="0.3"/>
    <row r="23" spans="2:24" ht="15" thickBot="1" x14ac:dyDescent="0.35"/>
    <row r="24" spans="2:24" ht="27" thickTop="1" thickBot="1" x14ac:dyDescent="0.55000000000000004">
      <c r="B24" s="73" t="s">
        <v>17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5"/>
    </row>
    <row r="25" spans="2:24" ht="43.05" customHeight="1" thickTop="1" x14ac:dyDescent="0.35">
      <c r="B25" s="71" t="s">
        <v>18</v>
      </c>
      <c r="C25" s="56"/>
      <c r="D25" s="56"/>
      <c r="E25" s="60" t="s">
        <v>19</v>
      </c>
      <c r="F25" s="61"/>
      <c r="G25" s="62"/>
      <c r="H25" s="45" t="s">
        <v>20</v>
      </c>
      <c r="I25" s="55" t="s">
        <v>21</v>
      </c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7"/>
      <c r="V25" s="57"/>
      <c r="W25" s="58"/>
    </row>
    <row r="26" spans="2:24" x14ac:dyDescent="0.3">
      <c r="B26" s="72"/>
      <c r="C26" s="50"/>
      <c r="D26" s="50"/>
      <c r="E26" s="51"/>
      <c r="F26" s="50"/>
      <c r="G26" s="43"/>
      <c r="H26" s="43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9"/>
    </row>
    <row r="27" spans="2:24" x14ac:dyDescent="0.3">
      <c r="B27" s="64" t="s">
        <v>22</v>
      </c>
      <c r="C27" s="50"/>
      <c r="D27" s="50"/>
      <c r="E27" s="52" t="s">
        <v>23</v>
      </c>
      <c r="F27" s="50"/>
      <c r="G27" s="44">
        <v>0</v>
      </c>
      <c r="H27" s="44" t="str">
        <f>DEC2HEX(G27,6)</f>
        <v>000000</v>
      </c>
      <c r="I27" s="53" t="str">
        <f>H27&amp;H28&amp;H29&amp;H30&amp;H31&amp;H32&amp;H33&amp;H34&amp;H35&amp;H36&amp;H37&amp;H38&amp;H39&amp;H40&amp;H41&amp;H42&amp;H43&amp;H44&amp;H45</f>
        <v>000000030000012C00000000015E00C8000000000000000000000000000000000000000001</v>
      </c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4"/>
      <c r="U27" s="53"/>
      <c r="V27" s="53"/>
      <c r="W27" s="54"/>
    </row>
    <row r="28" spans="2:24" x14ac:dyDescent="0.3">
      <c r="B28" s="64" t="s">
        <v>24</v>
      </c>
      <c r="C28" s="50"/>
      <c r="D28" s="50"/>
      <c r="E28" s="52" t="s">
        <v>25</v>
      </c>
      <c r="F28" s="50"/>
      <c r="G28" s="44">
        <v>3</v>
      </c>
      <c r="H28" s="44" t="str">
        <f>DEC2HEX(G28,2)</f>
        <v>03</v>
      </c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4"/>
      <c r="U28" s="53"/>
      <c r="V28" s="53"/>
      <c r="W28" s="54"/>
    </row>
    <row r="29" spans="2:24" x14ac:dyDescent="0.3">
      <c r="B29" s="64" t="s">
        <v>22</v>
      </c>
      <c r="C29" s="50"/>
      <c r="D29" s="50"/>
      <c r="E29" s="52" t="s">
        <v>23</v>
      </c>
      <c r="F29" s="50"/>
      <c r="G29" s="44">
        <v>0</v>
      </c>
      <c r="H29" s="44" t="str">
        <f>DEC2HEX(G29,4)</f>
        <v>0000</v>
      </c>
      <c r="W29" s="11"/>
    </row>
    <row r="30" spans="2:24" x14ac:dyDescent="0.3">
      <c r="B30" s="64" t="s">
        <v>26</v>
      </c>
      <c r="C30" s="50"/>
      <c r="D30" s="50"/>
      <c r="E30" s="52" t="s">
        <v>27</v>
      </c>
      <c r="F30" s="50"/>
      <c r="G30" s="27">
        <v>5</v>
      </c>
      <c r="H30" s="44" t="str">
        <f>DEC2HEX(G30*60,4)</f>
        <v>012C</v>
      </c>
      <c r="W30" s="11"/>
    </row>
    <row r="31" spans="2:24" x14ac:dyDescent="0.3">
      <c r="B31" s="64" t="s">
        <v>22</v>
      </c>
      <c r="C31" s="50"/>
      <c r="D31" s="50"/>
      <c r="E31" s="52" t="s">
        <v>28</v>
      </c>
      <c r="F31" s="50"/>
      <c r="G31" s="103">
        <v>0</v>
      </c>
      <c r="H31" s="44" t="str">
        <f t="shared" ref="H31:H44" si="2">DEC2HEX(G31,4)</f>
        <v>0000</v>
      </c>
      <c r="W31" s="11"/>
    </row>
    <row r="32" spans="2:24" x14ac:dyDescent="0.3">
      <c r="B32" s="64" t="s">
        <v>22</v>
      </c>
      <c r="C32" s="50"/>
      <c r="D32" s="50"/>
      <c r="E32" s="52" t="s">
        <v>29</v>
      </c>
      <c r="F32" s="50"/>
      <c r="G32" s="103">
        <v>0</v>
      </c>
      <c r="H32" s="44" t="str">
        <f>DEC2HEX(G32*3600,4)</f>
        <v>0000</v>
      </c>
      <c r="W32" s="11"/>
    </row>
    <row r="33" spans="2:23" x14ac:dyDescent="0.3">
      <c r="B33" s="64" t="s">
        <v>30</v>
      </c>
      <c r="C33" s="50"/>
      <c r="D33" s="50"/>
      <c r="E33" s="52" t="s">
        <v>31</v>
      </c>
      <c r="F33" s="50"/>
      <c r="G33" s="28">
        <v>35</v>
      </c>
      <c r="H33" s="44" t="str">
        <f>IF(G33&lt;0,DEC2HEX(65536+(G33*10),4),DEC2HEX(G33*10,4))</f>
        <v>015E</v>
      </c>
      <c r="W33" s="11"/>
    </row>
    <row r="34" spans="2:23" x14ac:dyDescent="0.3">
      <c r="B34" s="64" t="s">
        <v>32</v>
      </c>
      <c r="C34" s="50"/>
      <c r="D34" s="50"/>
      <c r="E34" s="52" t="s">
        <v>33</v>
      </c>
      <c r="F34" s="50"/>
      <c r="G34" s="28">
        <v>20</v>
      </c>
      <c r="H34" s="44" t="str">
        <f>IF(G34&lt;0,DEC2HEX(65536+(G34*10),4),DEC2HEX(G34*10,4))</f>
        <v>00C8</v>
      </c>
      <c r="W34" s="11"/>
    </row>
    <row r="35" spans="2:23" x14ac:dyDescent="0.3">
      <c r="B35" s="64" t="s">
        <v>34</v>
      </c>
      <c r="C35" s="50"/>
      <c r="D35" s="50"/>
      <c r="E35" s="52" t="s">
        <v>23</v>
      </c>
      <c r="F35" s="50"/>
      <c r="G35" s="44">
        <v>0</v>
      </c>
      <c r="H35" s="44" t="str">
        <f>DEC2HEX(G35*10,4)</f>
        <v>0000</v>
      </c>
      <c r="W35" s="11"/>
    </row>
    <row r="36" spans="2:23" x14ac:dyDescent="0.3">
      <c r="B36" s="65" t="s">
        <v>36</v>
      </c>
      <c r="C36" s="50"/>
      <c r="D36" s="50"/>
      <c r="E36" s="52" t="s">
        <v>23</v>
      </c>
      <c r="F36" s="50"/>
      <c r="G36" s="44">
        <v>0</v>
      </c>
      <c r="H36" s="44" t="str">
        <f>DEC2HEX(G36*10,4)</f>
        <v>0000</v>
      </c>
      <c r="W36" s="11"/>
    </row>
    <row r="37" spans="2:23" x14ac:dyDescent="0.3">
      <c r="B37" s="49" t="s">
        <v>38</v>
      </c>
      <c r="C37" s="50"/>
      <c r="D37" s="50"/>
      <c r="E37" s="52" t="s">
        <v>23</v>
      </c>
      <c r="F37" s="50"/>
      <c r="G37" s="44">
        <v>0</v>
      </c>
      <c r="H37" s="44" t="str">
        <f t="shared" si="2"/>
        <v>0000</v>
      </c>
      <c r="W37" s="11"/>
    </row>
    <row r="38" spans="2:23" x14ac:dyDescent="0.3">
      <c r="B38" s="49" t="s">
        <v>39</v>
      </c>
      <c r="C38" s="50"/>
      <c r="D38" s="50"/>
      <c r="E38" s="52" t="s">
        <v>23</v>
      </c>
      <c r="F38" s="50"/>
      <c r="G38" s="44">
        <v>0</v>
      </c>
      <c r="H38" s="44" t="str">
        <f t="shared" si="2"/>
        <v>0000</v>
      </c>
      <c r="W38" s="11"/>
    </row>
    <row r="39" spans="2:23" x14ac:dyDescent="0.3">
      <c r="B39" s="49" t="s">
        <v>40</v>
      </c>
      <c r="C39" s="50"/>
      <c r="D39" s="50"/>
      <c r="E39" s="52" t="s">
        <v>23</v>
      </c>
      <c r="F39" s="50"/>
      <c r="G39" s="44">
        <v>0</v>
      </c>
      <c r="H39" s="44" t="str">
        <f t="shared" si="2"/>
        <v>0000</v>
      </c>
      <c r="W39" s="11"/>
    </row>
    <row r="40" spans="2:23" x14ac:dyDescent="0.3">
      <c r="B40" s="49" t="s">
        <v>41</v>
      </c>
      <c r="C40" s="50"/>
      <c r="D40" s="50"/>
      <c r="E40" s="52" t="s">
        <v>23</v>
      </c>
      <c r="F40" s="50"/>
      <c r="G40" s="44">
        <v>0</v>
      </c>
      <c r="H40" s="44" t="str">
        <f t="shared" si="2"/>
        <v>0000</v>
      </c>
      <c r="W40" s="11"/>
    </row>
    <row r="41" spans="2:23" x14ac:dyDescent="0.3">
      <c r="B41" s="49" t="s">
        <v>42</v>
      </c>
      <c r="C41" s="50"/>
      <c r="D41" s="50"/>
      <c r="E41" s="52" t="s">
        <v>23</v>
      </c>
      <c r="F41" s="50"/>
      <c r="G41" s="44">
        <v>0</v>
      </c>
      <c r="H41" s="44" t="str">
        <f t="shared" si="2"/>
        <v>0000</v>
      </c>
      <c r="W41" s="11"/>
    </row>
    <row r="42" spans="2:23" x14ac:dyDescent="0.3">
      <c r="B42" s="49" t="s">
        <v>43</v>
      </c>
      <c r="C42" s="50"/>
      <c r="D42" s="50"/>
      <c r="E42" s="52" t="s">
        <v>23</v>
      </c>
      <c r="F42" s="50"/>
      <c r="G42" s="44">
        <v>0</v>
      </c>
      <c r="H42" s="44" t="str">
        <f t="shared" si="2"/>
        <v>0000</v>
      </c>
      <c r="W42" s="11"/>
    </row>
    <row r="43" spans="2:23" x14ac:dyDescent="0.3">
      <c r="B43" s="49" t="s">
        <v>44</v>
      </c>
      <c r="C43" s="50"/>
      <c r="D43" s="50"/>
      <c r="E43" s="52" t="s">
        <v>23</v>
      </c>
      <c r="F43" s="50"/>
      <c r="G43" s="44">
        <v>0</v>
      </c>
      <c r="H43" s="44" t="str">
        <f t="shared" si="2"/>
        <v>0000</v>
      </c>
      <c r="W43" s="11"/>
    </row>
    <row r="44" spans="2:23" x14ac:dyDescent="0.3">
      <c r="B44" s="49" t="s">
        <v>45</v>
      </c>
      <c r="C44" s="50"/>
      <c r="D44" s="50"/>
      <c r="E44" s="52" t="s">
        <v>23</v>
      </c>
      <c r="F44" s="50"/>
      <c r="G44" s="44">
        <v>0</v>
      </c>
      <c r="H44" s="44" t="str">
        <f t="shared" si="2"/>
        <v>0000</v>
      </c>
      <c r="W44" s="11"/>
    </row>
    <row r="45" spans="2:23" x14ac:dyDescent="0.3">
      <c r="B45" s="49" t="s">
        <v>22</v>
      </c>
      <c r="C45" s="50"/>
      <c r="D45" s="50"/>
      <c r="E45" s="52" t="s">
        <v>46</v>
      </c>
      <c r="F45" s="50"/>
      <c r="G45" s="44">
        <v>1</v>
      </c>
      <c r="H45" s="44" t="str">
        <f>DEC2HEX(G45,2)</f>
        <v>01</v>
      </c>
      <c r="W45" s="11"/>
    </row>
    <row r="46" spans="2:23" ht="15" thickBot="1" x14ac:dyDescent="0.35">
      <c r="B46" s="23"/>
      <c r="C46" s="24"/>
      <c r="D46" s="24"/>
      <c r="E46" s="25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6"/>
    </row>
    <row r="47" spans="2:23" ht="15" thickTop="1" x14ac:dyDescent="0.3"/>
  </sheetData>
  <mergeCells count="49">
    <mergeCell ref="B2:E2"/>
    <mergeCell ref="B3:F3"/>
    <mergeCell ref="B25:D25"/>
    <mergeCell ref="E25:G25"/>
    <mergeCell ref="I25:W25"/>
    <mergeCell ref="U14:V19"/>
    <mergeCell ref="B26:D26"/>
    <mergeCell ref="E26:F26"/>
    <mergeCell ref="I26:W26"/>
    <mergeCell ref="B27:D27"/>
    <mergeCell ref="E27:F27"/>
    <mergeCell ref="I27:W28"/>
    <mergeCell ref="B28:D28"/>
    <mergeCell ref="E28:F28"/>
    <mergeCell ref="B29:D29"/>
    <mergeCell ref="E29:F29"/>
    <mergeCell ref="B30:D30"/>
    <mergeCell ref="E30:F30"/>
    <mergeCell ref="B31:D31"/>
    <mergeCell ref="E31:F31"/>
    <mergeCell ref="B32:D32"/>
    <mergeCell ref="E32:F32"/>
    <mergeCell ref="B33:D33"/>
    <mergeCell ref="E33:F33"/>
    <mergeCell ref="B34:D34"/>
    <mergeCell ref="E34:F34"/>
    <mergeCell ref="E40:F40"/>
    <mergeCell ref="B35:D35"/>
    <mergeCell ref="E35:F35"/>
    <mergeCell ref="B36:D36"/>
    <mergeCell ref="E36:F36"/>
    <mergeCell ref="B37:D37"/>
    <mergeCell ref="E37:F37"/>
    <mergeCell ref="B44:D44"/>
    <mergeCell ref="E44:F44"/>
    <mergeCell ref="B45:D45"/>
    <mergeCell ref="E45:F45"/>
    <mergeCell ref="B24:W24"/>
    <mergeCell ref="B41:D41"/>
    <mergeCell ref="E41:F41"/>
    <mergeCell ref="B42:D42"/>
    <mergeCell ref="E42:F42"/>
    <mergeCell ref="B43:D43"/>
    <mergeCell ref="E43:F43"/>
    <mergeCell ref="B38:D38"/>
    <mergeCell ref="E38:F38"/>
    <mergeCell ref="B39:D39"/>
    <mergeCell ref="E39:F39"/>
    <mergeCell ref="B40:D4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AC274-1046-5B46-B5DE-1D339BB46F24}">
  <dimension ref="A1:X49"/>
  <sheetViews>
    <sheetView topLeftCell="A12" workbookViewId="0">
      <selection activeCell="G34" sqref="G34"/>
    </sheetView>
  </sheetViews>
  <sheetFormatPr baseColWidth="10" defaultColWidth="10.77734375" defaultRowHeight="14.4" x14ac:dyDescent="0.3"/>
  <cols>
    <col min="1" max="1" width="15" customWidth="1"/>
    <col min="2" max="2" width="7.77734375" customWidth="1"/>
    <col min="3" max="3" width="7" customWidth="1"/>
    <col min="4" max="4" width="14.6640625" customWidth="1"/>
    <col min="5" max="5" width="13" style="1" customWidth="1"/>
    <col min="6" max="6" width="26.6640625" customWidth="1"/>
    <col min="7" max="7" width="9.77734375" customWidth="1"/>
    <col min="8" max="8" width="10.33203125" customWidth="1"/>
    <col min="9" max="18" width="7.77734375" customWidth="1"/>
  </cols>
  <sheetData>
    <row r="1" spans="1:24" ht="15" thickBot="1" x14ac:dyDescent="0.35"/>
    <row r="2" spans="1:24" ht="18.600000000000001" thickTop="1" x14ac:dyDescent="0.35">
      <c r="B2" s="81" t="s">
        <v>0</v>
      </c>
      <c r="C2" s="82"/>
      <c r="D2" s="82"/>
      <c r="E2" s="82"/>
      <c r="F2" s="29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9"/>
    </row>
    <row r="3" spans="1:24" ht="18" x14ac:dyDescent="0.35">
      <c r="A3" s="2"/>
      <c r="B3" s="83" t="s">
        <v>47</v>
      </c>
      <c r="C3" s="84"/>
      <c r="D3" s="84"/>
      <c r="E3" s="84"/>
      <c r="F3" s="85"/>
      <c r="X3" s="11"/>
    </row>
    <row r="4" spans="1:24" x14ac:dyDescent="0.3">
      <c r="A4" s="2"/>
      <c r="B4" s="42"/>
      <c r="X4" s="11"/>
    </row>
    <row r="5" spans="1:24" x14ac:dyDescent="0.3">
      <c r="B5" s="12" t="s">
        <v>2</v>
      </c>
      <c r="C5" s="13" t="s">
        <v>3</v>
      </c>
      <c r="D5" s="14" t="s">
        <v>4</v>
      </c>
      <c r="E5" s="15" t="s">
        <v>5</v>
      </c>
      <c r="X5" s="11"/>
    </row>
    <row r="6" spans="1:24" x14ac:dyDescent="0.3">
      <c r="A6" s="2"/>
      <c r="B6" s="16">
        <v>1</v>
      </c>
      <c r="C6" s="44">
        <v>6</v>
      </c>
      <c r="D6" s="1" t="str">
        <f t="shared" ref="D6:D14" si="0">MID($B$3,B6,C6)</f>
        <v>000077</v>
      </c>
      <c r="E6" s="5">
        <f>HEX2DEC(D6)</f>
        <v>119</v>
      </c>
      <c r="F6" t="s">
        <v>6</v>
      </c>
      <c r="X6" s="11"/>
    </row>
    <row r="7" spans="1:24" x14ac:dyDescent="0.3">
      <c r="A7" s="2"/>
      <c r="B7" s="16">
        <f t="shared" ref="B7:B14" si="1">B6+C6</f>
        <v>7</v>
      </c>
      <c r="C7" s="44">
        <v>2</v>
      </c>
      <c r="D7" s="1" t="str">
        <f t="shared" si="0"/>
        <v>05</v>
      </c>
      <c r="E7" s="5">
        <f>HEX2DEC(D7)</f>
        <v>5</v>
      </c>
      <c r="F7" t="s">
        <v>48</v>
      </c>
      <c r="X7" s="11"/>
    </row>
    <row r="8" spans="1:24" x14ac:dyDescent="0.3">
      <c r="A8" s="2"/>
      <c r="B8" s="16">
        <f t="shared" si="1"/>
        <v>9</v>
      </c>
      <c r="C8" s="44">
        <v>2</v>
      </c>
      <c r="D8" s="1" t="str">
        <f t="shared" si="0"/>
        <v>11</v>
      </c>
      <c r="E8" s="5">
        <f>HEX2DEC(D8)</f>
        <v>17</v>
      </c>
      <c r="F8" t="s">
        <v>8</v>
      </c>
      <c r="X8" s="11"/>
    </row>
    <row r="9" spans="1:24" x14ac:dyDescent="0.3">
      <c r="A9" s="2"/>
      <c r="B9" s="16">
        <f t="shared" si="1"/>
        <v>11</v>
      </c>
      <c r="C9" s="44">
        <v>2</v>
      </c>
      <c r="D9" s="1" t="str">
        <f t="shared" si="0"/>
        <v>01</v>
      </c>
      <c r="E9" s="5" t="str">
        <f>HEX2BIN(D9,8)</f>
        <v>00000001</v>
      </c>
      <c r="F9" t="s">
        <v>9</v>
      </c>
      <c r="X9" s="11"/>
    </row>
    <row r="10" spans="1:24" x14ac:dyDescent="0.3">
      <c r="A10" s="2"/>
      <c r="B10" s="16">
        <f t="shared" si="1"/>
        <v>13</v>
      </c>
      <c r="C10" s="44">
        <v>4</v>
      </c>
      <c r="D10" s="1" t="str">
        <f t="shared" si="0"/>
        <v>00E3</v>
      </c>
      <c r="E10" s="5">
        <f>IF(LEFT(D10,1)&gt;="A",(HEX2DEC(D10)-65536)/10,HEX2DEC(D10)/10)</f>
        <v>22.7</v>
      </c>
      <c r="F10" t="s">
        <v>10</v>
      </c>
      <c r="X10" s="11"/>
    </row>
    <row r="11" spans="1:24" x14ac:dyDescent="0.3">
      <c r="A11" s="2"/>
      <c r="B11" s="16">
        <f t="shared" si="1"/>
        <v>17</v>
      </c>
      <c r="C11" s="44">
        <v>4</v>
      </c>
      <c r="D11" s="1" t="str">
        <f t="shared" si="0"/>
        <v>011F</v>
      </c>
      <c r="E11" s="17">
        <f>HEX2DEC(D11)/10</f>
        <v>28.7</v>
      </c>
      <c r="F11" t="s">
        <v>11</v>
      </c>
      <c r="X11" s="11"/>
    </row>
    <row r="12" spans="1:24" x14ac:dyDescent="0.3">
      <c r="A12" s="2"/>
      <c r="B12" s="16">
        <f t="shared" si="1"/>
        <v>21</v>
      </c>
      <c r="C12" s="44">
        <v>4</v>
      </c>
      <c r="D12" s="1" t="str">
        <f t="shared" si="0"/>
        <v>0014</v>
      </c>
      <c r="E12" s="5">
        <f>HEX2DEC(D12)</f>
        <v>20</v>
      </c>
      <c r="F12" t="s">
        <v>12</v>
      </c>
      <c r="X12" s="11"/>
    </row>
    <row r="13" spans="1:24" x14ac:dyDescent="0.3">
      <c r="A13" s="2"/>
      <c r="B13" s="16">
        <f t="shared" si="1"/>
        <v>25</v>
      </c>
      <c r="C13" s="44">
        <v>4</v>
      </c>
      <c r="D13" s="1" t="str">
        <f t="shared" si="0"/>
        <v>0000</v>
      </c>
      <c r="E13" s="5">
        <f>HEX2DEC(D13)</f>
        <v>0</v>
      </c>
      <c r="F13" t="s">
        <v>13</v>
      </c>
      <c r="X13" s="11"/>
    </row>
    <row r="14" spans="1:24" x14ac:dyDescent="0.3">
      <c r="A14" s="2"/>
      <c r="B14" s="16">
        <f t="shared" si="1"/>
        <v>29</v>
      </c>
      <c r="C14" s="44">
        <v>4</v>
      </c>
      <c r="D14" s="1" t="str">
        <f t="shared" si="0"/>
        <v>0028</v>
      </c>
      <c r="E14" s="5">
        <f>HEX2DEC(D14)</f>
        <v>40</v>
      </c>
      <c r="F14" t="s">
        <v>14</v>
      </c>
      <c r="G14" s="44" t="str">
        <f>HEX2BIN(MID(D14,1,2),8)</f>
        <v>00000000</v>
      </c>
      <c r="H14" s="44" t="str">
        <f>HEX2BIN(MID(D14,3,2),8)</f>
        <v>00101000</v>
      </c>
      <c r="I14" s="44">
        <f>IF((MID($G14,1,1)="0"),0,1)</f>
        <v>0</v>
      </c>
      <c r="J14" s="44">
        <f>IF((MID($G14,2,1)="0"),0,1)</f>
        <v>0</v>
      </c>
      <c r="K14" s="44">
        <f>IF((MID($G14,3,1)="0"),0,1)</f>
        <v>0</v>
      </c>
      <c r="L14" s="44">
        <f>IF((MID($G14,4,1)="0"),0,1)</f>
        <v>0</v>
      </c>
      <c r="M14" s="44">
        <f>IF((MID($G14,5,1)="0"),0,1)</f>
        <v>0</v>
      </c>
      <c r="N14" s="44">
        <f>IF((MID($G14,6,1)="0"),0,1)</f>
        <v>0</v>
      </c>
      <c r="O14" s="44">
        <f>IF((MID($G14,7,1)="0"),0,1)</f>
        <v>0</v>
      </c>
      <c r="P14" s="44">
        <f>IF((MID($G14,8,1)="0"),0,1)</f>
        <v>0</v>
      </c>
      <c r="Q14" s="44">
        <f>IF((MID($H14,1,1)="0"),0,1)</f>
        <v>0</v>
      </c>
      <c r="R14" s="44">
        <f>IF((MID($H14,2,1)="0"),0,1)</f>
        <v>0</v>
      </c>
      <c r="S14" s="19" t="str">
        <f>IF((MID($H14,3,1)="0"),"VOC Lo OK","VOC Lo Alm")</f>
        <v>VOC Lo Alm</v>
      </c>
      <c r="T14" s="19" t="str">
        <f>IF((MID($H14,4,1)="0"),"VOC Hi OK","VOC Hi Alm")</f>
        <v>VOC Hi OK</v>
      </c>
      <c r="U14" s="20" t="str">
        <f>IF((MID($H14,5,1)="0"),"Hum Lo OK","Hum Lo Alm")</f>
        <v>Hum Lo Alm</v>
      </c>
      <c r="V14" s="20" t="str">
        <f>IF((MID($H14,6,1)="0"),"Hum Hi OK","Hum Hi Alm")</f>
        <v>Hum Hi OK</v>
      </c>
      <c r="W14" s="20" t="str">
        <f>IF((MID($H14,7,1)="0"),"Temp Lo OK","Temp Lo Alm")</f>
        <v>Temp Lo OK</v>
      </c>
      <c r="X14" s="30" t="str">
        <f>IF((MID($H14,8,1)="0"),"Temp Hi OK","Temp Hi Alm")</f>
        <v>Temp Hi OK</v>
      </c>
    </row>
    <row r="15" spans="1:24" x14ac:dyDescent="0.3">
      <c r="A15" s="2"/>
      <c r="B15" s="16">
        <f>B14+C14</f>
        <v>33</v>
      </c>
      <c r="C15" s="44">
        <v>4</v>
      </c>
      <c r="D15" s="1" t="str">
        <f>MID($B$3,B15,C15)</f>
        <v>0000</v>
      </c>
      <c r="E15" s="5">
        <f>HEX2DEC(D15)</f>
        <v>0</v>
      </c>
      <c r="F15" s="21" t="s">
        <v>15</v>
      </c>
      <c r="G15" s="44" t="str">
        <f>HEX2BIN(MID(D15,1,2),8)</f>
        <v>00000000</v>
      </c>
      <c r="H15" s="44" t="str">
        <f>HEX2BIN(MID(D15,3,2),8)</f>
        <v>00000000</v>
      </c>
      <c r="I15" s="44">
        <f>IF((MID($G15,1,1)="0"),0,1)</f>
        <v>0</v>
      </c>
      <c r="J15" s="44">
        <f>IF((MID($G15,2,1)="0"),0,1)</f>
        <v>0</v>
      </c>
      <c r="K15" s="44">
        <f>IF((MID($G15,3,1)="0"),0,1)</f>
        <v>0</v>
      </c>
      <c r="L15" s="44">
        <f>IF((MID($G15,4,1)="0"),0,1)</f>
        <v>0</v>
      </c>
      <c r="M15" s="44">
        <f>IF((MID($G15,5,1)="0"),0,1)</f>
        <v>0</v>
      </c>
      <c r="N15" s="44">
        <f>IF((MID($G15,6,1)="0"),0,1)</f>
        <v>0</v>
      </c>
      <c r="O15" s="44">
        <f>IF((MID($G15,7,1)="0"),0,1)</f>
        <v>0</v>
      </c>
      <c r="P15" s="44">
        <f>IF((MID($G15,8,1)="0"),0,1)</f>
        <v>0</v>
      </c>
      <c r="Q15" s="44">
        <f>IF((MID($H15,1,1)="0"),0,1)</f>
        <v>0</v>
      </c>
      <c r="R15" s="44">
        <f>IF((MID($H15,2,1)="0"),0,1)</f>
        <v>0</v>
      </c>
      <c r="S15" s="44">
        <f>IF((MID($H15,3,1)="0"),0,1)</f>
        <v>0</v>
      </c>
      <c r="T15" s="44">
        <f>IF((MID($H15,4,1)="0"),0,1)</f>
        <v>0</v>
      </c>
      <c r="U15" s="3">
        <f>IF((MID($H15,5,1)="0"),0,1)</f>
        <v>0</v>
      </c>
      <c r="V15" s="4">
        <f>IF((MID($H15,6,1)="0"),0,1)</f>
        <v>0</v>
      </c>
      <c r="W15" s="20">
        <f>IF((MID($H15,7,1)="0"),0,1)</f>
        <v>0</v>
      </c>
      <c r="X15" s="30" t="str">
        <f>IF((MID($H15,8,1)="0"),"Normal","Alarm")</f>
        <v>Normal</v>
      </c>
    </row>
    <row r="16" spans="1:24" ht="15" customHeight="1" x14ac:dyDescent="0.3">
      <c r="A16" s="2"/>
      <c r="B16" s="16"/>
      <c r="C16" s="44"/>
      <c r="D16" s="1"/>
      <c r="E16" s="17"/>
      <c r="U16" s="76" t="s">
        <v>16</v>
      </c>
      <c r="V16" s="77"/>
      <c r="W16" s="44"/>
      <c r="X16" s="36"/>
    </row>
    <row r="17" spans="2:24" x14ac:dyDescent="0.3">
      <c r="B17" s="22"/>
      <c r="E17" s="17"/>
      <c r="U17" s="78"/>
      <c r="V17" s="77"/>
      <c r="W17" s="44"/>
      <c r="X17" s="36"/>
    </row>
    <row r="18" spans="2:24" x14ac:dyDescent="0.3">
      <c r="B18" s="22"/>
      <c r="E18" s="17"/>
      <c r="U18" s="78"/>
      <c r="V18" s="77"/>
      <c r="W18" s="44"/>
      <c r="X18" s="36"/>
    </row>
    <row r="19" spans="2:24" x14ac:dyDescent="0.3">
      <c r="B19" s="22"/>
      <c r="E19" s="17"/>
      <c r="U19" s="78"/>
      <c r="V19" s="77"/>
      <c r="W19" s="44"/>
      <c r="X19" s="36"/>
    </row>
    <row r="20" spans="2:24" x14ac:dyDescent="0.3">
      <c r="B20" s="22"/>
      <c r="U20" s="78"/>
      <c r="V20" s="77"/>
      <c r="W20" s="44"/>
      <c r="X20" s="36"/>
    </row>
    <row r="21" spans="2:24" x14ac:dyDescent="0.3">
      <c r="B21" s="22"/>
      <c r="U21" s="79"/>
      <c r="V21" s="80"/>
      <c r="W21" s="44"/>
      <c r="X21" s="36"/>
    </row>
    <row r="22" spans="2:24" ht="15" thickBot="1" x14ac:dyDescent="0.35">
      <c r="B22" s="23"/>
      <c r="C22" s="24"/>
      <c r="D22" s="24"/>
      <c r="E22" s="25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6"/>
    </row>
    <row r="23" spans="2:24" ht="15" thickTop="1" x14ac:dyDescent="0.3"/>
    <row r="25" spans="2:24" ht="15" thickBot="1" x14ac:dyDescent="0.35"/>
    <row r="26" spans="2:24" ht="27" thickTop="1" thickBot="1" x14ac:dyDescent="0.55000000000000004">
      <c r="B26" s="73" t="s">
        <v>17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5"/>
    </row>
    <row r="27" spans="2:24" ht="36" customHeight="1" thickTop="1" x14ac:dyDescent="0.35">
      <c r="B27" s="71" t="s">
        <v>18</v>
      </c>
      <c r="C27" s="56"/>
      <c r="D27" s="56"/>
      <c r="E27" s="60" t="s">
        <v>19</v>
      </c>
      <c r="F27" s="61"/>
      <c r="G27" s="62"/>
      <c r="H27" s="45" t="s">
        <v>20</v>
      </c>
      <c r="I27" s="55" t="s">
        <v>21</v>
      </c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7"/>
      <c r="V27" s="57"/>
      <c r="W27" s="58"/>
    </row>
    <row r="28" spans="2:24" x14ac:dyDescent="0.3">
      <c r="B28" s="72"/>
      <c r="C28" s="50"/>
      <c r="D28" s="50"/>
      <c r="E28" s="51"/>
      <c r="F28" s="50"/>
      <c r="G28" s="43"/>
      <c r="H28" s="43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9"/>
    </row>
    <row r="29" spans="2:24" x14ac:dyDescent="0.3">
      <c r="B29" s="64" t="s">
        <v>22</v>
      </c>
      <c r="C29" s="50"/>
      <c r="D29" s="50"/>
      <c r="E29" s="52" t="s">
        <v>23</v>
      </c>
      <c r="F29" s="50"/>
      <c r="G29" s="44">
        <v>0</v>
      </c>
      <c r="H29" s="44" t="str">
        <f>DEC2HEX(G29,6)</f>
        <v>000000</v>
      </c>
      <c r="I29" s="53" t="str">
        <f>H29&amp;H30&amp;H31&amp;H32&amp;H33&amp;H34&amp;H35&amp;H36&amp;H37&amp;H38&amp;H39&amp;H40&amp;H41&amp;H42&amp;H43&amp;H44&amp;H45&amp;H46&amp;H47</f>
        <v>000000030000012C00000000015E00C80320019002BC012C00000000000000000000000001</v>
      </c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3"/>
      <c r="V29" s="53"/>
      <c r="W29" s="54"/>
    </row>
    <row r="30" spans="2:24" x14ac:dyDescent="0.3">
      <c r="B30" s="64" t="s">
        <v>24</v>
      </c>
      <c r="C30" s="50"/>
      <c r="D30" s="50"/>
      <c r="E30" s="52" t="s">
        <v>25</v>
      </c>
      <c r="F30" s="50"/>
      <c r="G30" s="44">
        <v>3</v>
      </c>
      <c r="H30" s="44" t="str">
        <f>DEC2HEX(G30,2)</f>
        <v>03</v>
      </c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4"/>
      <c r="U30" s="53"/>
      <c r="V30" s="53"/>
      <c r="W30" s="54"/>
    </row>
    <row r="31" spans="2:24" x14ac:dyDescent="0.3">
      <c r="B31" s="64" t="s">
        <v>22</v>
      </c>
      <c r="C31" s="50"/>
      <c r="D31" s="50"/>
      <c r="E31" s="52" t="s">
        <v>23</v>
      </c>
      <c r="F31" s="50"/>
      <c r="G31" s="44">
        <v>0</v>
      </c>
      <c r="H31" s="44" t="str">
        <f>DEC2HEX(G31,4)</f>
        <v>0000</v>
      </c>
      <c r="W31" s="11"/>
    </row>
    <row r="32" spans="2:24" x14ac:dyDescent="0.3">
      <c r="B32" s="64" t="s">
        <v>26</v>
      </c>
      <c r="C32" s="50"/>
      <c r="D32" s="50"/>
      <c r="E32" s="52" t="s">
        <v>27</v>
      </c>
      <c r="F32" s="50"/>
      <c r="G32" s="27">
        <v>5</v>
      </c>
      <c r="H32" s="44" t="str">
        <f>DEC2HEX(G32*60,4)</f>
        <v>012C</v>
      </c>
      <c r="W32" s="11"/>
    </row>
    <row r="33" spans="2:23" x14ac:dyDescent="0.3">
      <c r="B33" s="64" t="s">
        <v>22</v>
      </c>
      <c r="C33" s="50"/>
      <c r="D33" s="50"/>
      <c r="E33" s="52" t="s">
        <v>28</v>
      </c>
      <c r="F33" s="50"/>
      <c r="G33" s="103">
        <v>0</v>
      </c>
      <c r="H33" s="44" t="str">
        <f t="shared" ref="H33:H46" si="2">DEC2HEX(G33,4)</f>
        <v>0000</v>
      </c>
      <c r="W33" s="11"/>
    </row>
    <row r="34" spans="2:23" x14ac:dyDescent="0.3">
      <c r="B34" s="64" t="s">
        <v>22</v>
      </c>
      <c r="C34" s="50"/>
      <c r="D34" s="50"/>
      <c r="E34" s="52" t="s">
        <v>29</v>
      </c>
      <c r="F34" s="50"/>
      <c r="G34" s="103">
        <v>0</v>
      </c>
      <c r="H34" s="44" t="str">
        <f>DEC2HEX(G34*3600,4)</f>
        <v>0000</v>
      </c>
      <c r="W34" s="11"/>
    </row>
    <row r="35" spans="2:23" x14ac:dyDescent="0.3">
      <c r="B35" s="64" t="s">
        <v>30</v>
      </c>
      <c r="C35" s="50"/>
      <c r="D35" s="50"/>
      <c r="E35" s="52" t="s">
        <v>31</v>
      </c>
      <c r="F35" s="50"/>
      <c r="G35" s="28">
        <v>35</v>
      </c>
      <c r="H35" s="44" t="str">
        <f>IF(G35&lt;0,DEC2HEX(65536+(G35*10),4),DEC2HEX(G35*10,4))</f>
        <v>015E</v>
      </c>
      <c r="W35" s="11"/>
    </row>
    <row r="36" spans="2:23" x14ac:dyDescent="0.3">
      <c r="B36" s="64" t="s">
        <v>32</v>
      </c>
      <c r="C36" s="50"/>
      <c r="D36" s="50"/>
      <c r="E36" s="52" t="s">
        <v>33</v>
      </c>
      <c r="F36" s="50"/>
      <c r="G36" s="28">
        <v>20</v>
      </c>
      <c r="H36" s="44" t="str">
        <f>IF(G36&lt;0,DEC2HEX(65536+(G36*10),4),DEC2HEX(G36*10,4))</f>
        <v>00C8</v>
      </c>
      <c r="W36" s="11"/>
    </row>
    <row r="37" spans="2:23" x14ac:dyDescent="0.3">
      <c r="B37" s="64" t="s">
        <v>34</v>
      </c>
      <c r="C37" s="50"/>
      <c r="D37" s="50"/>
      <c r="E37" s="52" t="s">
        <v>35</v>
      </c>
      <c r="F37" s="50"/>
      <c r="G37" s="28">
        <v>80</v>
      </c>
      <c r="H37" s="44" t="str">
        <f>DEC2HEX(G37*10,4)</f>
        <v>0320</v>
      </c>
      <c r="W37" s="11"/>
    </row>
    <row r="38" spans="2:23" x14ac:dyDescent="0.3">
      <c r="B38" s="65" t="s">
        <v>36</v>
      </c>
      <c r="C38" s="50"/>
      <c r="D38" s="50"/>
      <c r="E38" s="63" t="s">
        <v>37</v>
      </c>
      <c r="F38" s="50"/>
      <c r="G38" s="28">
        <v>40</v>
      </c>
      <c r="H38" s="44" t="str">
        <f>DEC2HEX(G38*10,4)</f>
        <v>0190</v>
      </c>
      <c r="W38" s="11"/>
    </row>
    <row r="39" spans="2:23" x14ac:dyDescent="0.3">
      <c r="B39" s="49" t="s">
        <v>38</v>
      </c>
      <c r="C39" s="50"/>
      <c r="D39" s="50"/>
      <c r="E39" s="52" t="s">
        <v>49</v>
      </c>
      <c r="F39" s="50"/>
      <c r="G39" s="27">
        <v>700</v>
      </c>
      <c r="H39" s="44" t="str">
        <f t="shared" si="2"/>
        <v>02BC</v>
      </c>
      <c r="W39" s="11"/>
    </row>
    <row r="40" spans="2:23" x14ac:dyDescent="0.3">
      <c r="B40" s="49" t="s">
        <v>39</v>
      </c>
      <c r="C40" s="50"/>
      <c r="D40" s="50"/>
      <c r="E40" s="52" t="s">
        <v>50</v>
      </c>
      <c r="F40" s="50"/>
      <c r="G40" s="27">
        <v>300</v>
      </c>
      <c r="H40" s="44" t="str">
        <f t="shared" si="2"/>
        <v>012C</v>
      </c>
      <c r="W40" s="11"/>
    </row>
    <row r="41" spans="2:23" x14ac:dyDescent="0.3">
      <c r="B41" s="49" t="s">
        <v>40</v>
      </c>
      <c r="C41" s="50"/>
      <c r="D41" s="50"/>
      <c r="E41" s="52" t="s">
        <v>23</v>
      </c>
      <c r="F41" s="50"/>
      <c r="G41" s="44">
        <v>0</v>
      </c>
      <c r="H41" s="44" t="str">
        <f t="shared" si="2"/>
        <v>0000</v>
      </c>
      <c r="W41" s="11"/>
    </row>
    <row r="42" spans="2:23" x14ac:dyDescent="0.3">
      <c r="B42" s="49" t="s">
        <v>41</v>
      </c>
      <c r="C42" s="50"/>
      <c r="D42" s="50"/>
      <c r="E42" s="52" t="s">
        <v>23</v>
      </c>
      <c r="F42" s="50"/>
      <c r="G42" s="44">
        <v>0</v>
      </c>
      <c r="H42" s="44" t="str">
        <f t="shared" si="2"/>
        <v>0000</v>
      </c>
      <c r="W42" s="11"/>
    </row>
    <row r="43" spans="2:23" x14ac:dyDescent="0.3">
      <c r="B43" s="49" t="s">
        <v>42</v>
      </c>
      <c r="C43" s="50"/>
      <c r="D43" s="50"/>
      <c r="E43" s="52" t="s">
        <v>23</v>
      </c>
      <c r="F43" s="50"/>
      <c r="G43" s="44">
        <v>0</v>
      </c>
      <c r="H43" s="44" t="str">
        <f t="shared" si="2"/>
        <v>0000</v>
      </c>
      <c r="W43" s="11"/>
    </row>
    <row r="44" spans="2:23" x14ac:dyDescent="0.3">
      <c r="B44" s="49" t="s">
        <v>43</v>
      </c>
      <c r="C44" s="50"/>
      <c r="D44" s="50"/>
      <c r="E44" s="52" t="s">
        <v>23</v>
      </c>
      <c r="F44" s="50"/>
      <c r="G44" s="44">
        <v>0</v>
      </c>
      <c r="H44" s="44" t="str">
        <f t="shared" si="2"/>
        <v>0000</v>
      </c>
      <c r="W44" s="11"/>
    </row>
    <row r="45" spans="2:23" x14ac:dyDescent="0.3">
      <c r="B45" s="49" t="s">
        <v>44</v>
      </c>
      <c r="C45" s="50"/>
      <c r="D45" s="50"/>
      <c r="E45" s="52" t="s">
        <v>23</v>
      </c>
      <c r="F45" s="50"/>
      <c r="G45" s="44">
        <v>0</v>
      </c>
      <c r="H45" s="44" t="str">
        <f t="shared" si="2"/>
        <v>0000</v>
      </c>
      <c r="W45" s="11"/>
    </row>
    <row r="46" spans="2:23" x14ac:dyDescent="0.3">
      <c r="B46" s="49" t="s">
        <v>45</v>
      </c>
      <c r="C46" s="50"/>
      <c r="D46" s="50"/>
      <c r="E46" s="52" t="s">
        <v>23</v>
      </c>
      <c r="F46" s="50"/>
      <c r="G46" s="44">
        <v>0</v>
      </c>
      <c r="H46" s="44" t="str">
        <f t="shared" si="2"/>
        <v>0000</v>
      </c>
      <c r="W46" s="11"/>
    </row>
    <row r="47" spans="2:23" x14ac:dyDescent="0.3">
      <c r="B47" s="49" t="s">
        <v>22</v>
      </c>
      <c r="C47" s="50"/>
      <c r="D47" s="50"/>
      <c r="E47" s="52" t="s">
        <v>46</v>
      </c>
      <c r="F47" s="50"/>
      <c r="G47" s="44">
        <v>1</v>
      </c>
      <c r="H47" s="44" t="str">
        <f>DEC2HEX(G47,2)</f>
        <v>01</v>
      </c>
      <c r="W47" s="11"/>
    </row>
    <row r="48" spans="2:23" ht="15" thickBot="1" x14ac:dyDescent="0.35">
      <c r="B48" s="23"/>
      <c r="C48" s="24"/>
      <c r="D48" s="24"/>
      <c r="E48" s="25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6"/>
    </row>
    <row r="49" ht="15" thickTop="1" x14ac:dyDescent="0.3"/>
  </sheetData>
  <mergeCells count="49">
    <mergeCell ref="B2:E2"/>
    <mergeCell ref="B3:F3"/>
    <mergeCell ref="B27:D27"/>
    <mergeCell ref="E27:G27"/>
    <mergeCell ref="I27:W27"/>
    <mergeCell ref="U16:V21"/>
    <mergeCell ref="B28:D28"/>
    <mergeCell ref="E28:F28"/>
    <mergeCell ref="I28:W28"/>
    <mergeCell ref="B29:D29"/>
    <mergeCell ref="E29:F29"/>
    <mergeCell ref="I29:W30"/>
    <mergeCell ref="B30:D30"/>
    <mergeCell ref="E30:F30"/>
    <mergeCell ref="B31:D31"/>
    <mergeCell ref="E31:F31"/>
    <mergeCell ref="B32:D32"/>
    <mergeCell ref="E32:F32"/>
    <mergeCell ref="B33:D33"/>
    <mergeCell ref="E33:F33"/>
    <mergeCell ref="B34:D34"/>
    <mergeCell ref="E34:F34"/>
    <mergeCell ref="B35:D35"/>
    <mergeCell ref="E35:F35"/>
    <mergeCell ref="B36:D36"/>
    <mergeCell ref="E36:F36"/>
    <mergeCell ref="E42:F42"/>
    <mergeCell ref="B37:D37"/>
    <mergeCell ref="E37:F37"/>
    <mergeCell ref="B38:D38"/>
    <mergeCell ref="E38:F38"/>
    <mergeCell ref="B39:D39"/>
    <mergeCell ref="E39:F39"/>
    <mergeCell ref="B46:D46"/>
    <mergeCell ref="E46:F46"/>
    <mergeCell ref="B47:D47"/>
    <mergeCell ref="E47:F47"/>
    <mergeCell ref="B26:W26"/>
    <mergeCell ref="B43:D43"/>
    <mergeCell ref="E43:F43"/>
    <mergeCell ref="B44:D44"/>
    <mergeCell ref="E44:F44"/>
    <mergeCell ref="B45:D45"/>
    <mergeCell ref="E45:F45"/>
    <mergeCell ref="B40:D40"/>
    <mergeCell ref="E40:F40"/>
    <mergeCell ref="B41:D41"/>
    <mergeCell ref="E41:F41"/>
    <mergeCell ref="B42:D4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6C54E-9CCB-FC42-AB05-60EA1D4768D9}">
  <dimension ref="A1:X49"/>
  <sheetViews>
    <sheetView topLeftCell="A17" workbookViewId="0">
      <selection activeCell="G34" sqref="G34"/>
    </sheetView>
  </sheetViews>
  <sheetFormatPr baseColWidth="10" defaultColWidth="10.77734375" defaultRowHeight="14.4" x14ac:dyDescent="0.3"/>
  <cols>
    <col min="1" max="1" width="15" customWidth="1"/>
    <col min="2" max="2" width="7.77734375" customWidth="1"/>
    <col min="3" max="3" width="7" customWidth="1"/>
    <col min="4" max="4" width="15.77734375" customWidth="1"/>
    <col min="5" max="5" width="13" style="1" customWidth="1"/>
    <col min="6" max="6" width="29" customWidth="1"/>
    <col min="7" max="7" width="10" customWidth="1"/>
    <col min="8" max="8" width="9.77734375" customWidth="1"/>
    <col min="9" max="16" width="7.77734375" customWidth="1"/>
  </cols>
  <sheetData>
    <row r="1" spans="1:24" ht="15" thickBot="1" x14ac:dyDescent="0.35"/>
    <row r="2" spans="1:24" ht="18.600000000000001" thickTop="1" x14ac:dyDescent="0.35">
      <c r="B2" s="81" t="s">
        <v>0</v>
      </c>
      <c r="C2" s="82"/>
      <c r="D2" s="82"/>
      <c r="E2" s="82"/>
      <c r="F2" s="29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9"/>
    </row>
    <row r="3" spans="1:24" ht="18" x14ac:dyDescent="0.35">
      <c r="A3" s="2"/>
      <c r="B3" s="83" t="s">
        <v>116</v>
      </c>
      <c r="C3" s="84"/>
      <c r="D3" s="84"/>
      <c r="E3" s="84"/>
      <c r="F3" s="85"/>
      <c r="X3" s="11"/>
    </row>
    <row r="4" spans="1:24" x14ac:dyDescent="0.3">
      <c r="A4" s="2"/>
      <c r="B4" s="42"/>
      <c r="X4" s="11"/>
    </row>
    <row r="5" spans="1:24" x14ac:dyDescent="0.3">
      <c r="B5" s="12" t="s">
        <v>2</v>
      </c>
      <c r="C5" s="13" t="s">
        <v>3</v>
      </c>
      <c r="D5" s="14" t="s">
        <v>4</v>
      </c>
      <c r="E5" s="15" t="s">
        <v>5</v>
      </c>
      <c r="X5" s="11"/>
    </row>
    <row r="6" spans="1:24" x14ac:dyDescent="0.3">
      <c r="A6" s="2"/>
      <c r="B6" s="16">
        <v>1</v>
      </c>
      <c r="C6" s="44">
        <v>6</v>
      </c>
      <c r="D6" s="1" t="str">
        <f t="shared" ref="D6:D14" si="0">MID($B$3,B6,C6)</f>
        <v>002979</v>
      </c>
      <c r="E6" s="5">
        <f>HEX2DEC(D6)</f>
        <v>10617</v>
      </c>
      <c r="F6" t="s">
        <v>6</v>
      </c>
      <c r="X6" s="11"/>
    </row>
    <row r="7" spans="1:24" x14ac:dyDescent="0.3">
      <c r="A7" s="2"/>
      <c r="B7" s="16">
        <f t="shared" ref="B7:B14" si="1">B6+C6</f>
        <v>7</v>
      </c>
      <c r="C7" s="44">
        <v>2</v>
      </c>
      <c r="D7" s="1" t="str">
        <f t="shared" si="0"/>
        <v>06</v>
      </c>
      <c r="E7" s="5">
        <f>HEX2DEC(D7)</f>
        <v>6</v>
      </c>
      <c r="F7" t="s">
        <v>51</v>
      </c>
      <c r="X7" s="11"/>
    </row>
    <row r="8" spans="1:24" x14ac:dyDescent="0.3">
      <c r="A8" s="2"/>
      <c r="B8" s="16">
        <f t="shared" si="1"/>
        <v>9</v>
      </c>
      <c r="C8" s="44">
        <v>2</v>
      </c>
      <c r="D8" s="1" t="str">
        <f t="shared" si="0"/>
        <v>06</v>
      </c>
      <c r="E8" s="5">
        <f>HEX2DEC(D8)</f>
        <v>6</v>
      </c>
      <c r="F8" t="s">
        <v>8</v>
      </c>
      <c r="X8" s="11"/>
    </row>
    <row r="9" spans="1:24" x14ac:dyDescent="0.3">
      <c r="A9" s="2"/>
      <c r="B9" s="16">
        <f t="shared" si="1"/>
        <v>11</v>
      </c>
      <c r="C9" s="44">
        <v>2</v>
      </c>
      <c r="D9" s="1" t="str">
        <f t="shared" si="0"/>
        <v>09</v>
      </c>
      <c r="E9" s="5" t="str">
        <f>HEX2BIN(D9,8)</f>
        <v>00001001</v>
      </c>
      <c r="F9" t="s">
        <v>9</v>
      </c>
      <c r="X9" s="11"/>
    </row>
    <row r="10" spans="1:24" x14ac:dyDescent="0.3">
      <c r="A10" s="2"/>
      <c r="B10" s="16">
        <f t="shared" si="1"/>
        <v>13</v>
      </c>
      <c r="C10" s="44">
        <v>4</v>
      </c>
      <c r="D10" s="1" t="str">
        <f t="shared" si="0"/>
        <v>7fff</v>
      </c>
      <c r="E10" s="5">
        <f>IF(LEFT(D10,1)&gt;="A",(HEX2DEC(D10)-65536)/10,HEX2DEC(D10)/10)</f>
        <v>3276.7</v>
      </c>
      <c r="F10" t="s">
        <v>10</v>
      </c>
      <c r="X10" s="11"/>
    </row>
    <row r="11" spans="1:24" x14ac:dyDescent="0.3">
      <c r="A11" s="2"/>
      <c r="B11" s="16">
        <f t="shared" si="1"/>
        <v>17</v>
      </c>
      <c r="C11" s="44">
        <v>4</v>
      </c>
      <c r="D11" s="1" t="str">
        <f t="shared" si="0"/>
        <v>ffff</v>
      </c>
      <c r="E11" s="17">
        <f>HEX2DEC(D11)/10</f>
        <v>6553.5</v>
      </c>
      <c r="F11" t="s">
        <v>11</v>
      </c>
      <c r="X11" s="11"/>
    </row>
    <row r="12" spans="1:24" x14ac:dyDescent="0.3">
      <c r="A12" s="2"/>
      <c r="B12" s="16">
        <f t="shared" si="1"/>
        <v>21</v>
      </c>
      <c r="C12" s="44">
        <v>4</v>
      </c>
      <c r="D12" s="1" t="str">
        <f t="shared" si="0"/>
        <v>0006</v>
      </c>
      <c r="E12" s="5">
        <f>HEX2DEC(D12)</f>
        <v>6</v>
      </c>
      <c r="F12" t="s">
        <v>12</v>
      </c>
      <c r="X12" s="11"/>
    </row>
    <row r="13" spans="1:24" x14ac:dyDescent="0.3">
      <c r="A13" s="2"/>
      <c r="B13" s="16">
        <f t="shared" si="1"/>
        <v>25</v>
      </c>
      <c r="C13" s="44">
        <v>4</v>
      </c>
      <c r="D13" s="1" t="str">
        <f t="shared" si="0"/>
        <v>ffff</v>
      </c>
      <c r="E13" s="5">
        <f>HEX2DEC(D13)</f>
        <v>65535</v>
      </c>
      <c r="F13" t="s">
        <v>13</v>
      </c>
      <c r="X13" s="11"/>
    </row>
    <row r="14" spans="1:24" x14ac:dyDescent="0.3">
      <c r="A14" s="2"/>
      <c r="B14" s="16">
        <f t="shared" si="1"/>
        <v>29</v>
      </c>
      <c r="C14" s="44">
        <v>4</v>
      </c>
      <c r="D14" s="1" t="str">
        <f t="shared" si="0"/>
        <v>0000</v>
      </c>
      <c r="E14" s="5">
        <f>HEX2DEC(D14)</f>
        <v>0</v>
      </c>
      <c r="F14" t="s">
        <v>14</v>
      </c>
      <c r="G14" s="44" t="str">
        <f>HEX2BIN(MID(D14,1,2),8)</f>
        <v>00000000</v>
      </c>
      <c r="H14" s="44" t="str">
        <f>HEX2BIN(MID(D14,3,2),8)</f>
        <v>00000000</v>
      </c>
      <c r="I14" s="44">
        <f>IF((MID($G14,1,1)="0"),0,1)</f>
        <v>0</v>
      </c>
      <c r="J14" s="44">
        <f>IF((MID($G14,2,1)="0"),0,1)</f>
        <v>0</v>
      </c>
      <c r="K14" s="44">
        <f>IF((MID($G14,3,1)="0"),0,1)</f>
        <v>0</v>
      </c>
      <c r="L14" s="44">
        <f>IF((MID($G14,4,1)="0"),0,1)</f>
        <v>0</v>
      </c>
      <c r="M14" s="44">
        <f>IF((MID($G14,5,1)="0"),0,1)</f>
        <v>0</v>
      </c>
      <c r="N14" s="44">
        <f>IF((MID($G14,6,1)="0"),0,1)</f>
        <v>0</v>
      </c>
      <c r="O14" s="44">
        <f>IF((MID($G14,7,1)="0"),0,1)</f>
        <v>0</v>
      </c>
      <c r="P14" s="44">
        <f>IF((MID($G14,8,1)="0"),0,1)</f>
        <v>0</v>
      </c>
      <c r="Q14" s="19" t="str">
        <f>IF((MID($H14,1,1)="0"),"CO2 Lo OK","CO2 Lo Alm")</f>
        <v>CO2 Lo OK</v>
      </c>
      <c r="R14" s="19" t="str">
        <f>IF((MID($H14,2,1)="0"),"CO2 Hi OK","CO2 Hi Alm")</f>
        <v>CO2 Hi OK</v>
      </c>
      <c r="S14" s="19" t="str">
        <f>IF((MID($H14,3,1)="0"),"VOC Lo OK","VOC Lo Alm")</f>
        <v>VOC Lo OK</v>
      </c>
      <c r="T14" s="19" t="str">
        <f>IF((MID($H14,4,1)="0"),"VOC Hi OK","VOC Hi Alm")</f>
        <v>VOC Hi OK</v>
      </c>
      <c r="U14" s="20" t="str">
        <f>IF((MID($H14,5,1)="0"),"Hum Lo OK","Hum Lo Alm")</f>
        <v>Hum Lo OK</v>
      </c>
      <c r="V14" s="20" t="str">
        <f>IF((MID($H14,6,1)="0"),"Hum Hi OK","Hum Hi Alm")</f>
        <v>Hum Hi OK</v>
      </c>
      <c r="W14" s="20" t="str">
        <f>IF((MID($H14,7,1)="0"),"Temp Lo OK","Temp Lo Alm")</f>
        <v>Temp Lo OK</v>
      </c>
      <c r="X14" s="30" t="str">
        <f>IF((MID($H14,8,1)="0"),"Temp Hi OK","Temp Hi Alm")</f>
        <v>Temp Hi OK</v>
      </c>
    </row>
    <row r="15" spans="1:24" x14ac:dyDescent="0.3">
      <c r="A15" s="2"/>
      <c r="B15" s="16">
        <f>B14+C14</f>
        <v>33</v>
      </c>
      <c r="C15" s="44">
        <v>4</v>
      </c>
      <c r="D15" s="1" t="str">
        <f>MID($B$3,B15,C15)</f>
        <v>0000</v>
      </c>
      <c r="E15" s="5">
        <f>HEX2DEC(D15)</f>
        <v>0</v>
      </c>
      <c r="F15" s="21" t="s">
        <v>15</v>
      </c>
      <c r="G15" s="44" t="str">
        <f>HEX2BIN(MID(D15,1,2),8)</f>
        <v>00000000</v>
      </c>
      <c r="H15" s="44" t="str">
        <f>HEX2BIN(MID(D15,3,2),8)</f>
        <v>00000000</v>
      </c>
      <c r="I15" s="44">
        <f>IF((MID($G15,1,1)="0"),0,1)</f>
        <v>0</v>
      </c>
      <c r="J15" s="44">
        <f>IF((MID($G15,2,1)="0"),0,1)</f>
        <v>0</v>
      </c>
      <c r="K15" s="44">
        <f>IF((MID($G15,3,1)="0"),0,1)</f>
        <v>0</v>
      </c>
      <c r="L15" s="44">
        <f>IF((MID($G15,4,1)="0"),0,1)</f>
        <v>0</v>
      </c>
      <c r="M15" s="44">
        <f>IF((MID($G15,5,1)="0"),0,1)</f>
        <v>0</v>
      </c>
      <c r="N15" s="44">
        <f>IF((MID($G15,6,1)="0"),0,1)</f>
        <v>0</v>
      </c>
      <c r="O15" s="44">
        <f>IF((MID($G15,7,1)="0"),0,1)</f>
        <v>0</v>
      </c>
      <c r="P15" s="44">
        <f>IF((MID($G15,8,1)="0"),0,1)</f>
        <v>0</v>
      </c>
      <c r="Q15" s="44">
        <f>IF((MID($H15,1,1)="0"),0,1)</f>
        <v>0</v>
      </c>
      <c r="R15" s="44">
        <f>IF((MID($H15,2,1)="0"),0,1)</f>
        <v>0</v>
      </c>
      <c r="S15" s="44">
        <f>IF((MID($H15,3,1)="0"),0,1)</f>
        <v>0</v>
      </c>
      <c r="T15" s="44">
        <f>IF((MID($H15,4,1)="0"),0,1)</f>
        <v>0</v>
      </c>
      <c r="U15" s="3">
        <f>IF((MID($H15,5,1)="0"),0,1)</f>
        <v>0</v>
      </c>
      <c r="V15" s="4">
        <f>IF((MID($H15,6,1)="0"),0,1)</f>
        <v>0</v>
      </c>
      <c r="W15" s="20">
        <f>IF((MID($H15,7,1)="0"),0,1)</f>
        <v>0</v>
      </c>
      <c r="X15" s="30" t="str">
        <f>IF((MID($H15,8,1)="0"),"Normal","Alarm")</f>
        <v>Normal</v>
      </c>
    </row>
    <row r="16" spans="1:24" ht="15" customHeight="1" x14ac:dyDescent="0.3">
      <c r="A16" s="2"/>
      <c r="B16" s="16"/>
      <c r="C16" s="44"/>
      <c r="D16" s="1"/>
      <c r="E16" s="17"/>
      <c r="U16" s="76" t="s">
        <v>16</v>
      </c>
      <c r="V16" s="77"/>
      <c r="W16" s="44"/>
      <c r="X16" s="36"/>
    </row>
    <row r="17" spans="2:24" x14ac:dyDescent="0.3">
      <c r="B17" s="22"/>
      <c r="E17" s="17"/>
      <c r="U17" s="78"/>
      <c r="V17" s="77"/>
      <c r="W17" s="44"/>
      <c r="X17" s="36"/>
    </row>
    <row r="18" spans="2:24" x14ac:dyDescent="0.3">
      <c r="B18" s="22"/>
      <c r="E18" s="17"/>
      <c r="U18" s="78"/>
      <c r="V18" s="77"/>
      <c r="W18" s="44"/>
      <c r="X18" s="36"/>
    </row>
    <row r="19" spans="2:24" x14ac:dyDescent="0.3">
      <c r="B19" s="22"/>
      <c r="E19" s="17"/>
      <c r="U19" s="78"/>
      <c r="V19" s="77"/>
      <c r="W19" s="44"/>
      <c r="X19" s="36"/>
    </row>
    <row r="20" spans="2:24" x14ac:dyDescent="0.3">
      <c r="B20" s="22"/>
      <c r="U20" s="78"/>
      <c r="V20" s="77"/>
      <c r="W20" s="44"/>
      <c r="X20" s="36"/>
    </row>
    <row r="21" spans="2:24" x14ac:dyDescent="0.3">
      <c r="B21" s="22"/>
      <c r="U21" s="79"/>
      <c r="V21" s="80"/>
      <c r="W21" s="44"/>
      <c r="X21" s="36"/>
    </row>
    <row r="22" spans="2:24" ht="15" thickBot="1" x14ac:dyDescent="0.35">
      <c r="B22" s="23"/>
      <c r="C22" s="24"/>
      <c r="D22" s="24"/>
      <c r="E22" s="25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6"/>
    </row>
    <row r="23" spans="2:24" ht="15" thickTop="1" x14ac:dyDescent="0.3"/>
    <row r="25" spans="2:24" ht="15" thickBot="1" x14ac:dyDescent="0.35"/>
    <row r="26" spans="2:24" ht="27" thickTop="1" thickBot="1" x14ac:dyDescent="0.55000000000000004">
      <c r="B26" s="73" t="s">
        <v>17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5"/>
    </row>
    <row r="27" spans="2:24" ht="39" customHeight="1" thickTop="1" x14ac:dyDescent="0.35">
      <c r="B27" s="71" t="s">
        <v>18</v>
      </c>
      <c r="C27" s="56"/>
      <c r="D27" s="56"/>
      <c r="E27" s="60" t="s">
        <v>19</v>
      </c>
      <c r="F27" s="61"/>
      <c r="G27" s="62"/>
      <c r="H27" s="45" t="s">
        <v>20</v>
      </c>
      <c r="I27" s="55" t="s">
        <v>21</v>
      </c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7"/>
      <c r="V27" s="57"/>
      <c r="W27" s="58"/>
    </row>
    <row r="28" spans="2:24" x14ac:dyDescent="0.3">
      <c r="B28" s="72"/>
      <c r="C28" s="50"/>
      <c r="D28" s="50"/>
      <c r="E28" s="51"/>
      <c r="F28" s="50"/>
      <c r="G28" s="43"/>
      <c r="H28" s="43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9"/>
    </row>
    <row r="29" spans="2:24" x14ac:dyDescent="0.3">
      <c r="B29" s="64" t="s">
        <v>22</v>
      </c>
      <c r="C29" s="50"/>
      <c r="D29" s="50"/>
      <c r="E29" s="52" t="s">
        <v>23</v>
      </c>
      <c r="F29" s="50"/>
      <c r="G29" s="44">
        <v>0</v>
      </c>
      <c r="H29" s="44" t="str">
        <f>DEC2HEX(G29,6)</f>
        <v>000000</v>
      </c>
      <c r="I29" s="53" t="str">
        <f>H29&amp;H30&amp;H31&amp;H32&amp;H33&amp;H34&amp;H35&amp;H36&amp;H37&amp;H38&amp;H39&amp;H40&amp;H41&amp;H42&amp;H43&amp;H44&amp;H45&amp;H46&amp;H47</f>
        <v>000000030000012C00000000012C009601F400C800C80032028A00FA000000000000000001</v>
      </c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3"/>
      <c r="V29" s="53"/>
      <c r="W29" s="54"/>
    </row>
    <row r="30" spans="2:24" x14ac:dyDescent="0.3">
      <c r="B30" s="64" t="s">
        <v>24</v>
      </c>
      <c r="C30" s="50"/>
      <c r="D30" s="50"/>
      <c r="E30" s="52" t="s">
        <v>25</v>
      </c>
      <c r="F30" s="50"/>
      <c r="G30" s="44">
        <v>3</v>
      </c>
      <c r="H30" s="44" t="str">
        <f>DEC2HEX(G30,2)</f>
        <v>03</v>
      </c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4"/>
      <c r="U30" s="53"/>
      <c r="V30" s="53"/>
      <c r="W30" s="54"/>
    </row>
    <row r="31" spans="2:24" x14ac:dyDescent="0.3">
      <c r="B31" s="64" t="s">
        <v>22</v>
      </c>
      <c r="C31" s="50"/>
      <c r="D31" s="50"/>
      <c r="E31" s="52" t="s">
        <v>23</v>
      </c>
      <c r="F31" s="50"/>
      <c r="G31" s="44">
        <v>0</v>
      </c>
      <c r="H31" s="44" t="str">
        <f>DEC2HEX(G31,4)</f>
        <v>0000</v>
      </c>
      <c r="W31" s="11"/>
    </row>
    <row r="32" spans="2:24" x14ac:dyDescent="0.3">
      <c r="B32" s="64" t="s">
        <v>26</v>
      </c>
      <c r="C32" s="50"/>
      <c r="D32" s="50"/>
      <c r="E32" s="52" t="s">
        <v>27</v>
      </c>
      <c r="F32" s="50"/>
      <c r="G32" s="27">
        <v>5</v>
      </c>
      <c r="H32" s="44" t="str">
        <f>DEC2HEX(G32*60,4)</f>
        <v>012C</v>
      </c>
      <c r="W32" s="11"/>
    </row>
    <row r="33" spans="2:23" x14ac:dyDescent="0.3">
      <c r="B33" s="64" t="s">
        <v>22</v>
      </c>
      <c r="C33" s="50"/>
      <c r="D33" s="50"/>
      <c r="E33" s="52" t="s">
        <v>28</v>
      </c>
      <c r="F33" s="50"/>
      <c r="G33" s="103">
        <v>0</v>
      </c>
      <c r="H33" s="44" t="str">
        <f t="shared" ref="H33:H46" si="2">DEC2HEX(G33,4)</f>
        <v>0000</v>
      </c>
      <c r="W33" s="11"/>
    </row>
    <row r="34" spans="2:23" x14ac:dyDescent="0.3">
      <c r="B34" s="64" t="s">
        <v>22</v>
      </c>
      <c r="C34" s="50"/>
      <c r="D34" s="50"/>
      <c r="E34" s="52" t="s">
        <v>29</v>
      </c>
      <c r="F34" s="50"/>
      <c r="G34" s="103">
        <v>0</v>
      </c>
      <c r="H34" s="44" t="str">
        <f>DEC2HEX(G34*3600,4)</f>
        <v>0000</v>
      </c>
      <c r="W34" s="11"/>
    </row>
    <row r="35" spans="2:23" x14ac:dyDescent="0.3">
      <c r="B35" s="64" t="s">
        <v>30</v>
      </c>
      <c r="C35" s="50"/>
      <c r="D35" s="50"/>
      <c r="E35" s="52" t="s">
        <v>31</v>
      </c>
      <c r="F35" s="50"/>
      <c r="G35" s="28">
        <v>30</v>
      </c>
      <c r="H35" s="44" t="str">
        <f>IF(G35&lt;0,DEC2HEX(65536+(G35*10),4),DEC2HEX(G35*10,4))</f>
        <v>012C</v>
      </c>
      <c r="W35" s="11"/>
    </row>
    <row r="36" spans="2:23" x14ac:dyDescent="0.3">
      <c r="B36" s="64" t="s">
        <v>32</v>
      </c>
      <c r="C36" s="50"/>
      <c r="D36" s="50"/>
      <c r="E36" s="52" t="s">
        <v>33</v>
      </c>
      <c r="F36" s="50"/>
      <c r="G36" s="28">
        <v>15</v>
      </c>
      <c r="H36" s="44" t="str">
        <f>IF(G36&lt;0,DEC2HEX(65536+(G36*10),4),DEC2HEX(G36*10,4))</f>
        <v>0096</v>
      </c>
      <c r="W36" s="11"/>
    </row>
    <row r="37" spans="2:23" x14ac:dyDescent="0.3">
      <c r="B37" s="64" t="s">
        <v>34</v>
      </c>
      <c r="C37" s="50"/>
      <c r="D37" s="50"/>
      <c r="E37" s="52" t="s">
        <v>35</v>
      </c>
      <c r="F37" s="50"/>
      <c r="G37" s="28">
        <v>50</v>
      </c>
      <c r="H37" s="44" t="str">
        <f>DEC2HEX(G37*10,4)</f>
        <v>01F4</v>
      </c>
      <c r="W37" s="11"/>
    </row>
    <row r="38" spans="2:23" x14ac:dyDescent="0.3">
      <c r="B38" s="65" t="s">
        <v>36</v>
      </c>
      <c r="C38" s="50"/>
      <c r="D38" s="50"/>
      <c r="E38" s="63" t="s">
        <v>37</v>
      </c>
      <c r="F38" s="50"/>
      <c r="G38" s="28">
        <v>20</v>
      </c>
      <c r="H38" s="44" t="str">
        <f>DEC2HEX(G38*10,4)</f>
        <v>00C8</v>
      </c>
      <c r="W38" s="11"/>
    </row>
    <row r="39" spans="2:23" x14ac:dyDescent="0.3">
      <c r="B39" s="49" t="s">
        <v>38</v>
      </c>
      <c r="C39" s="50"/>
      <c r="D39" s="50"/>
      <c r="E39" s="52" t="s">
        <v>49</v>
      </c>
      <c r="F39" s="50"/>
      <c r="G39" s="27">
        <v>200</v>
      </c>
      <c r="H39" s="44" t="str">
        <f t="shared" si="2"/>
        <v>00C8</v>
      </c>
      <c r="W39" s="11"/>
    </row>
    <row r="40" spans="2:23" x14ac:dyDescent="0.3">
      <c r="B40" s="49" t="s">
        <v>39</v>
      </c>
      <c r="C40" s="50"/>
      <c r="D40" s="50"/>
      <c r="E40" s="52" t="s">
        <v>50</v>
      </c>
      <c r="F40" s="50"/>
      <c r="G40" s="27">
        <v>50</v>
      </c>
      <c r="H40" s="44" t="str">
        <f t="shared" si="2"/>
        <v>0032</v>
      </c>
      <c r="W40" s="11"/>
    </row>
    <row r="41" spans="2:23" x14ac:dyDescent="0.3">
      <c r="B41" s="49" t="s">
        <v>40</v>
      </c>
      <c r="C41" s="50"/>
      <c r="D41" s="50"/>
      <c r="E41" s="52" t="s">
        <v>52</v>
      </c>
      <c r="F41" s="50"/>
      <c r="G41" s="27">
        <v>650</v>
      </c>
      <c r="H41" s="44" t="str">
        <f t="shared" si="2"/>
        <v>028A</v>
      </c>
      <c r="W41" s="11"/>
    </row>
    <row r="42" spans="2:23" x14ac:dyDescent="0.3">
      <c r="B42" s="49" t="s">
        <v>41</v>
      </c>
      <c r="C42" s="50"/>
      <c r="D42" s="50"/>
      <c r="E42" s="52" t="s">
        <v>53</v>
      </c>
      <c r="F42" s="50"/>
      <c r="G42" s="27">
        <v>250</v>
      </c>
      <c r="H42" s="44" t="str">
        <f t="shared" si="2"/>
        <v>00FA</v>
      </c>
      <c r="W42" s="11"/>
    </row>
    <row r="43" spans="2:23" x14ac:dyDescent="0.3">
      <c r="B43" s="49" t="s">
        <v>42</v>
      </c>
      <c r="C43" s="50"/>
      <c r="D43" s="50"/>
      <c r="E43" s="52" t="s">
        <v>23</v>
      </c>
      <c r="F43" s="50"/>
      <c r="G43" s="44">
        <v>0</v>
      </c>
      <c r="H43" s="44" t="str">
        <f t="shared" si="2"/>
        <v>0000</v>
      </c>
      <c r="W43" s="11"/>
    </row>
    <row r="44" spans="2:23" x14ac:dyDescent="0.3">
      <c r="B44" s="49" t="s">
        <v>43</v>
      </c>
      <c r="C44" s="50"/>
      <c r="D44" s="50"/>
      <c r="E44" s="52" t="s">
        <v>23</v>
      </c>
      <c r="F44" s="50"/>
      <c r="G44" s="44">
        <v>0</v>
      </c>
      <c r="H44" s="44" t="str">
        <f t="shared" si="2"/>
        <v>0000</v>
      </c>
      <c r="W44" s="11"/>
    </row>
    <row r="45" spans="2:23" x14ac:dyDescent="0.3">
      <c r="B45" s="49" t="s">
        <v>44</v>
      </c>
      <c r="C45" s="50"/>
      <c r="D45" s="50"/>
      <c r="E45" s="52" t="s">
        <v>23</v>
      </c>
      <c r="F45" s="50"/>
      <c r="G45" s="44">
        <v>0</v>
      </c>
      <c r="H45" s="44" t="str">
        <f t="shared" si="2"/>
        <v>0000</v>
      </c>
      <c r="W45" s="11"/>
    </row>
    <row r="46" spans="2:23" x14ac:dyDescent="0.3">
      <c r="B46" s="49" t="s">
        <v>45</v>
      </c>
      <c r="C46" s="50"/>
      <c r="D46" s="50"/>
      <c r="E46" s="52" t="s">
        <v>23</v>
      </c>
      <c r="F46" s="50"/>
      <c r="G46" s="44">
        <v>0</v>
      </c>
      <c r="H46" s="44" t="str">
        <f t="shared" si="2"/>
        <v>0000</v>
      </c>
      <c r="W46" s="11"/>
    </row>
    <row r="47" spans="2:23" x14ac:dyDescent="0.3">
      <c r="B47" s="49" t="s">
        <v>22</v>
      </c>
      <c r="C47" s="50"/>
      <c r="D47" s="50"/>
      <c r="E47" s="52" t="s">
        <v>46</v>
      </c>
      <c r="F47" s="50"/>
      <c r="G47" s="44">
        <v>1</v>
      </c>
      <c r="H47" s="44" t="str">
        <f>DEC2HEX(G47,2)</f>
        <v>01</v>
      </c>
      <c r="W47" s="11"/>
    </row>
    <row r="48" spans="2:23" ht="15" thickBot="1" x14ac:dyDescent="0.35">
      <c r="B48" s="23"/>
      <c r="C48" s="24"/>
      <c r="D48" s="24"/>
      <c r="E48" s="25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6"/>
    </row>
    <row r="49" ht="15" thickTop="1" x14ac:dyDescent="0.3"/>
  </sheetData>
  <mergeCells count="49">
    <mergeCell ref="B2:E2"/>
    <mergeCell ref="B3:F3"/>
    <mergeCell ref="B27:D27"/>
    <mergeCell ref="E27:G27"/>
    <mergeCell ref="I27:W27"/>
    <mergeCell ref="U16:V21"/>
    <mergeCell ref="B28:D28"/>
    <mergeCell ref="E28:F28"/>
    <mergeCell ref="I28:W28"/>
    <mergeCell ref="B29:D29"/>
    <mergeCell ref="E29:F29"/>
    <mergeCell ref="I29:W30"/>
    <mergeCell ref="B30:D30"/>
    <mergeCell ref="E30:F30"/>
    <mergeCell ref="B31:D31"/>
    <mergeCell ref="E31:F31"/>
    <mergeCell ref="B32:D32"/>
    <mergeCell ref="E32:F32"/>
    <mergeCell ref="B33:D33"/>
    <mergeCell ref="E33:F33"/>
    <mergeCell ref="B34:D34"/>
    <mergeCell ref="E34:F34"/>
    <mergeCell ref="B35:D35"/>
    <mergeCell ref="E35:F35"/>
    <mergeCell ref="B36:D36"/>
    <mergeCell ref="E36:F36"/>
    <mergeCell ref="E42:F42"/>
    <mergeCell ref="B37:D37"/>
    <mergeCell ref="E37:F37"/>
    <mergeCell ref="B38:D38"/>
    <mergeCell ref="E38:F38"/>
    <mergeCell ref="B39:D39"/>
    <mergeCell ref="E39:F39"/>
    <mergeCell ref="B46:D46"/>
    <mergeCell ref="E46:F46"/>
    <mergeCell ref="B47:D47"/>
    <mergeCell ref="E47:F47"/>
    <mergeCell ref="B26:W26"/>
    <mergeCell ref="B43:D43"/>
    <mergeCell ref="E43:F43"/>
    <mergeCell ref="B44:D44"/>
    <mergeCell ref="E44:F44"/>
    <mergeCell ref="B45:D45"/>
    <mergeCell ref="E45:F45"/>
    <mergeCell ref="B40:D40"/>
    <mergeCell ref="E40:F40"/>
    <mergeCell ref="B41:D41"/>
    <mergeCell ref="E41:F41"/>
    <mergeCell ref="B42:D4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09049-D691-FD41-823F-F11E666E5470}">
  <dimension ref="A1:X47"/>
  <sheetViews>
    <sheetView topLeftCell="A9" workbookViewId="0">
      <selection activeCell="G32" sqref="G32"/>
    </sheetView>
  </sheetViews>
  <sheetFormatPr baseColWidth="10" defaultColWidth="10.77734375" defaultRowHeight="14.4" x14ac:dyDescent="0.3"/>
  <cols>
    <col min="1" max="1" width="15" customWidth="1"/>
    <col min="2" max="2" width="7.77734375" customWidth="1"/>
    <col min="3" max="3" width="7" customWidth="1"/>
    <col min="4" max="4" width="14" customWidth="1"/>
    <col min="5" max="5" width="13" style="1" customWidth="1"/>
    <col min="6" max="6" width="25.77734375" customWidth="1"/>
    <col min="7" max="7" width="9" customWidth="1"/>
    <col min="8" max="8" width="9.33203125" customWidth="1"/>
    <col min="9" max="22" width="7.77734375" customWidth="1"/>
  </cols>
  <sheetData>
    <row r="1" spans="1:24" ht="15" thickBot="1" x14ac:dyDescent="0.35"/>
    <row r="2" spans="1:24" ht="18.600000000000001" thickTop="1" x14ac:dyDescent="0.35">
      <c r="B2" s="81" t="s">
        <v>0</v>
      </c>
      <c r="C2" s="82"/>
      <c r="D2" s="82"/>
      <c r="E2" s="82"/>
      <c r="F2" s="29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9"/>
    </row>
    <row r="3" spans="1:24" ht="18" x14ac:dyDescent="0.35">
      <c r="A3" s="2"/>
      <c r="B3" s="83" t="s">
        <v>54</v>
      </c>
      <c r="C3" s="84"/>
      <c r="D3" s="84"/>
      <c r="E3" s="84"/>
      <c r="F3" s="85"/>
      <c r="X3" s="11"/>
    </row>
    <row r="4" spans="1:24" x14ac:dyDescent="0.3">
      <c r="A4" s="2"/>
      <c r="B4" s="42"/>
      <c r="X4" s="11"/>
    </row>
    <row r="5" spans="1:24" x14ac:dyDescent="0.3">
      <c r="B5" s="12" t="s">
        <v>2</v>
      </c>
      <c r="C5" s="13" t="s">
        <v>3</v>
      </c>
      <c r="D5" s="14" t="s">
        <v>4</v>
      </c>
      <c r="E5" s="15" t="s">
        <v>5</v>
      </c>
      <c r="X5" s="11"/>
    </row>
    <row r="6" spans="1:24" x14ac:dyDescent="0.3">
      <c r="A6" s="2"/>
      <c r="B6" s="16">
        <v>1</v>
      </c>
      <c r="C6" s="44">
        <v>6</v>
      </c>
      <c r="D6" s="1" t="str">
        <f t="shared" ref="D6:D13" si="0">MID($B$3,B6,C6)</f>
        <v>00008A</v>
      </c>
      <c r="E6" s="5">
        <f>HEX2DEC(D6)</f>
        <v>138</v>
      </c>
      <c r="F6" t="s">
        <v>6</v>
      </c>
      <c r="X6" s="11"/>
    </row>
    <row r="7" spans="1:24" x14ac:dyDescent="0.3">
      <c r="A7" s="2"/>
      <c r="B7" s="16">
        <f t="shared" ref="B7:B13" si="1">B6+C6</f>
        <v>7</v>
      </c>
      <c r="C7" s="44">
        <v>2</v>
      </c>
      <c r="D7" s="1" t="str">
        <f t="shared" si="0"/>
        <v>07</v>
      </c>
      <c r="E7" s="5">
        <f>HEX2DEC(D7)</f>
        <v>7</v>
      </c>
      <c r="F7" t="s">
        <v>55</v>
      </c>
      <c r="X7" s="11"/>
    </row>
    <row r="8" spans="1:24" x14ac:dyDescent="0.3">
      <c r="A8" s="2"/>
      <c r="B8" s="16">
        <f t="shared" si="1"/>
        <v>9</v>
      </c>
      <c r="C8" s="44">
        <v>2</v>
      </c>
      <c r="D8" s="1" t="str">
        <f t="shared" si="0"/>
        <v>07</v>
      </c>
      <c r="E8" s="5">
        <f>HEX2DEC(D8)</f>
        <v>7</v>
      </c>
      <c r="F8" t="s">
        <v>8</v>
      </c>
      <c r="X8" s="11"/>
    </row>
    <row r="9" spans="1:24" x14ac:dyDescent="0.3">
      <c r="A9" s="2"/>
      <c r="B9" s="16">
        <f t="shared" si="1"/>
        <v>11</v>
      </c>
      <c r="C9" s="44">
        <v>2</v>
      </c>
      <c r="D9" s="1" t="str">
        <f t="shared" si="0"/>
        <v>01</v>
      </c>
      <c r="E9" s="5" t="str">
        <f>HEX2BIN(D9,8)</f>
        <v>00000001</v>
      </c>
      <c r="F9" t="s">
        <v>9</v>
      </c>
      <c r="X9" s="11"/>
    </row>
    <row r="10" spans="1:24" x14ac:dyDescent="0.3">
      <c r="A10" s="2"/>
      <c r="B10" s="16">
        <f t="shared" si="1"/>
        <v>13</v>
      </c>
      <c r="C10" s="44">
        <v>4</v>
      </c>
      <c r="D10" s="1" t="str">
        <f t="shared" si="0"/>
        <v>00CD</v>
      </c>
      <c r="E10" s="5">
        <f>IF(LEFT(D10,1)&gt;="A",(HEX2DEC(D10)-65536)/10,HEX2DEC(D10)/10)</f>
        <v>20.5</v>
      </c>
      <c r="F10" t="s">
        <v>10</v>
      </c>
      <c r="X10" s="11"/>
    </row>
    <row r="11" spans="1:24" x14ac:dyDescent="0.3">
      <c r="A11" s="2"/>
      <c r="B11" s="16">
        <f t="shared" si="1"/>
        <v>17</v>
      </c>
      <c r="C11" s="44">
        <v>4</v>
      </c>
      <c r="D11" s="1" t="str">
        <f t="shared" si="0"/>
        <v>0000</v>
      </c>
      <c r="E11" s="5">
        <f>IF(LEFT(D11,1)&gt;="A",(HEX2DEC(D11)-65536)/10,HEX2DEC(D11)/10)</f>
        <v>0</v>
      </c>
      <c r="F11" t="s">
        <v>56</v>
      </c>
      <c r="X11" s="11"/>
    </row>
    <row r="12" spans="1:24" x14ac:dyDescent="0.3">
      <c r="A12" s="2"/>
      <c r="B12" s="16">
        <f t="shared" si="1"/>
        <v>21</v>
      </c>
      <c r="C12" s="44">
        <v>4</v>
      </c>
      <c r="D12" s="1" t="str">
        <f t="shared" si="0"/>
        <v>0002</v>
      </c>
      <c r="E12" s="5">
        <f>HEX2DEC(D12)</f>
        <v>2</v>
      </c>
      <c r="F12" t="s">
        <v>14</v>
      </c>
      <c r="G12" s="44" t="str">
        <f>HEX2BIN(MID(D12,1,2),8)</f>
        <v>00000000</v>
      </c>
      <c r="H12" s="44" t="str">
        <f>HEX2BIN(MID(D12,3,2),8)</f>
        <v>00000010</v>
      </c>
      <c r="I12" s="44">
        <f>IF((MID($G12,1,1)="0"),0,1)</f>
        <v>0</v>
      </c>
      <c r="J12" s="44">
        <f>IF((MID($G12,2,1)="0"),0,1)</f>
        <v>0</v>
      </c>
      <c r="K12" s="44">
        <f>IF((MID($G12,3,1)="0"),0,1)</f>
        <v>0</v>
      </c>
      <c r="L12" s="44">
        <f>IF((MID($G12,4,1)="0"),0,1)</f>
        <v>0</v>
      </c>
      <c r="M12" s="44">
        <f>IF((MID($G12,5,1)="0"),0,1)</f>
        <v>0</v>
      </c>
      <c r="N12" s="44">
        <f>IF((MID($G12,6,1)="0"),0,1)</f>
        <v>0</v>
      </c>
      <c r="O12" s="44">
        <f>IF((MID($G12,7,1)="0"),0,1)</f>
        <v>0</v>
      </c>
      <c r="P12" s="44">
        <f>IF((MID($G12,8,1)="0"),0,1)</f>
        <v>0</v>
      </c>
      <c r="Q12" s="44">
        <f>IF((MID($H12,1,1)="0"),0,1)</f>
        <v>0</v>
      </c>
      <c r="R12" s="44">
        <f>IF((MID($H12,2,1)="0"),0,1)</f>
        <v>0</v>
      </c>
      <c r="S12" s="44">
        <f>IF((MID($H12,3,1)="0"),0,1)</f>
        <v>0</v>
      </c>
      <c r="T12" s="44">
        <f>IF((MID($H12,4,1)="0"),0,1)</f>
        <v>0</v>
      </c>
      <c r="U12" s="44">
        <f>IF((MID($H12,5,1)="0"),0,1)</f>
        <v>0</v>
      </c>
      <c r="V12" s="44">
        <f>IF((MID($H12,6,1)="0"),0,1)</f>
        <v>0</v>
      </c>
      <c r="W12" s="20" t="str">
        <f>IF((MID($H12,7,1)="0"),"Temp Lo OK","Temp Lo Alm")</f>
        <v>Temp Lo Alm</v>
      </c>
      <c r="X12" s="30" t="str">
        <f>IF((MID($H12,8,1)="0"),"Temp Hi OK","Temp Hi Alm")</f>
        <v>Temp Hi OK</v>
      </c>
    </row>
    <row r="13" spans="1:24" x14ac:dyDescent="0.3">
      <c r="A13" s="2"/>
      <c r="B13" s="16">
        <f t="shared" si="1"/>
        <v>25</v>
      </c>
      <c r="C13" s="44">
        <v>4</v>
      </c>
      <c r="D13" s="1" t="str">
        <f t="shared" si="0"/>
        <v>0000</v>
      </c>
      <c r="E13" s="5">
        <f>HEX2DEC(D13)</f>
        <v>0</v>
      </c>
      <c r="F13" s="21" t="s">
        <v>15</v>
      </c>
      <c r="G13" s="44" t="str">
        <f>HEX2BIN(MID(D13,1,2),8)</f>
        <v>00000000</v>
      </c>
      <c r="H13" s="44" t="str">
        <f>HEX2BIN(MID(D13,3,2),8)</f>
        <v>00000000</v>
      </c>
      <c r="I13" s="44">
        <f>IF((MID($G13,1,1)="0"),0,1)</f>
        <v>0</v>
      </c>
      <c r="J13" s="44">
        <f>IF((MID($G13,2,1)="0"),0,1)</f>
        <v>0</v>
      </c>
      <c r="K13" s="44">
        <f>IF((MID($G13,3,1)="0"),0,1)</f>
        <v>0</v>
      </c>
      <c r="L13" s="44">
        <f>IF((MID($G13,4,1)="0"),0,1)</f>
        <v>0</v>
      </c>
      <c r="M13" s="44">
        <f>IF((MID($G13,5,1)="0"),0,1)</f>
        <v>0</v>
      </c>
      <c r="N13" s="44">
        <f>IF((MID($G13,6,1)="0"),0,1)</f>
        <v>0</v>
      </c>
      <c r="O13" s="44">
        <f>IF((MID($G13,7,1)="0"),0,1)</f>
        <v>0</v>
      </c>
      <c r="P13" s="44">
        <f>IF((MID($G13,8,1)="0"),0,1)</f>
        <v>0</v>
      </c>
      <c r="Q13" s="44">
        <f>IF((MID($H13,1,1)="0"),0,1)</f>
        <v>0</v>
      </c>
      <c r="R13" s="44">
        <f>IF((MID($H13,2,1)="0"),0,1)</f>
        <v>0</v>
      </c>
      <c r="S13" s="44">
        <f>IF((MID($H13,3,1)="0"),0,1)</f>
        <v>0</v>
      </c>
      <c r="T13" s="44">
        <f>IF((MID($H13,4,1)="0"),0,1)</f>
        <v>0</v>
      </c>
      <c r="U13" s="3">
        <f>IF((MID($H13,5,1)="0"),0,1)</f>
        <v>0</v>
      </c>
      <c r="V13" s="4">
        <f>IF((MID($H13,6,1)="0"),0,1)</f>
        <v>0</v>
      </c>
      <c r="W13" s="20">
        <f>IF((MID($H13,7,1)="0"),0,1)</f>
        <v>0</v>
      </c>
      <c r="X13" s="30" t="str">
        <f>IF((MID($H13,8,1)="0"),"Normal","Alarm")</f>
        <v>Normal</v>
      </c>
    </row>
    <row r="14" spans="1:24" ht="15" customHeight="1" x14ac:dyDescent="0.3">
      <c r="A14" s="2"/>
      <c r="B14" s="16"/>
      <c r="C14" s="44"/>
      <c r="D14" s="1"/>
      <c r="E14" s="17"/>
      <c r="U14" s="76" t="s">
        <v>16</v>
      </c>
      <c r="V14" s="77"/>
      <c r="W14" s="44"/>
      <c r="X14" s="36"/>
    </row>
    <row r="15" spans="1:24" x14ac:dyDescent="0.3">
      <c r="B15" s="22"/>
      <c r="E15" s="17"/>
      <c r="U15" s="78"/>
      <c r="V15" s="77"/>
      <c r="W15" s="44"/>
      <c r="X15" s="36"/>
    </row>
    <row r="16" spans="1:24" x14ac:dyDescent="0.3">
      <c r="B16" s="22"/>
      <c r="E16" s="17"/>
      <c r="U16" s="78"/>
      <c r="V16" s="77"/>
      <c r="W16" s="44"/>
      <c r="X16" s="36"/>
    </row>
    <row r="17" spans="2:24" x14ac:dyDescent="0.3">
      <c r="B17" s="22"/>
      <c r="E17" s="17"/>
      <c r="U17" s="78"/>
      <c r="V17" s="77"/>
      <c r="W17" s="44"/>
      <c r="X17" s="36"/>
    </row>
    <row r="18" spans="2:24" x14ac:dyDescent="0.3">
      <c r="B18" s="22"/>
      <c r="U18" s="78"/>
      <c r="V18" s="77"/>
      <c r="W18" s="44"/>
      <c r="X18" s="36"/>
    </row>
    <row r="19" spans="2:24" x14ac:dyDescent="0.3">
      <c r="B19" s="22"/>
      <c r="U19" s="79"/>
      <c r="V19" s="80"/>
      <c r="W19" s="44"/>
      <c r="X19" s="36"/>
    </row>
    <row r="20" spans="2:24" ht="15" thickBot="1" x14ac:dyDescent="0.35">
      <c r="B20" s="23"/>
      <c r="C20" s="24"/>
      <c r="D20" s="24"/>
      <c r="E20" s="25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6"/>
    </row>
    <row r="21" spans="2:24" ht="15" thickTop="1" x14ac:dyDescent="0.3"/>
    <row r="23" spans="2:24" ht="15" thickBot="1" x14ac:dyDescent="0.35"/>
    <row r="24" spans="2:24" ht="27" thickTop="1" thickBot="1" x14ac:dyDescent="0.55000000000000004">
      <c r="B24" s="73" t="s">
        <v>17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5"/>
    </row>
    <row r="25" spans="2:24" ht="41.25" customHeight="1" thickTop="1" x14ac:dyDescent="0.35">
      <c r="B25" s="71" t="s">
        <v>18</v>
      </c>
      <c r="C25" s="56"/>
      <c r="D25" s="56"/>
      <c r="E25" s="60" t="s">
        <v>19</v>
      </c>
      <c r="F25" s="61"/>
      <c r="G25" s="62"/>
      <c r="H25" s="45" t="s">
        <v>20</v>
      </c>
      <c r="I25" s="55" t="s">
        <v>21</v>
      </c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7"/>
      <c r="V25" s="57"/>
      <c r="W25" s="58"/>
    </row>
    <row r="26" spans="2:24" x14ac:dyDescent="0.3">
      <c r="B26" s="72"/>
      <c r="C26" s="50"/>
      <c r="D26" s="50"/>
      <c r="E26" s="51"/>
      <c r="F26" s="50"/>
      <c r="G26" s="43"/>
      <c r="H26" s="43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9"/>
    </row>
    <row r="27" spans="2:24" x14ac:dyDescent="0.3">
      <c r="B27" s="64" t="s">
        <v>22</v>
      </c>
      <c r="C27" s="50"/>
      <c r="D27" s="50"/>
      <c r="E27" s="52" t="s">
        <v>23</v>
      </c>
      <c r="F27" s="50"/>
      <c r="G27" s="44">
        <v>0</v>
      </c>
      <c r="H27" s="44" t="str">
        <f>DEC2HEX(G27,6)</f>
        <v>000000</v>
      </c>
      <c r="I27" s="53" t="str">
        <f>H27&amp;H28&amp;H29&amp;H30&amp;H31&amp;H32&amp;H33&amp;H34&amp;H35&amp;H36&amp;H37&amp;H38&amp;H39&amp;H40&amp;H41&amp;H42&amp;H43&amp;H44&amp;H45</f>
        <v>000000030000012C00000000015E00C8000000000000000000000000000000000000000001</v>
      </c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4"/>
      <c r="U27" s="53"/>
      <c r="V27" s="53"/>
      <c r="W27" s="54"/>
    </row>
    <row r="28" spans="2:24" x14ac:dyDescent="0.3">
      <c r="B28" s="64" t="s">
        <v>24</v>
      </c>
      <c r="C28" s="50"/>
      <c r="D28" s="50"/>
      <c r="E28" s="52" t="s">
        <v>25</v>
      </c>
      <c r="F28" s="50"/>
      <c r="G28" s="44">
        <v>3</v>
      </c>
      <c r="H28" s="44" t="str">
        <f>DEC2HEX(G28,2)</f>
        <v>03</v>
      </c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4"/>
      <c r="U28" s="53"/>
      <c r="V28" s="53"/>
      <c r="W28" s="54"/>
    </row>
    <row r="29" spans="2:24" x14ac:dyDescent="0.3">
      <c r="B29" s="64" t="s">
        <v>22</v>
      </c>
      <c r="C29" s="50"/>
      <c r="D29" s="50"/>
      <c r="E29" s="52" t="s">
        <v>23</v>
      </c>
      <c r="F29" s="50"/>
      <c r="G29" s="44">
        <v>0</v>
      </c>
      <c r="H29" s="44" t="str">
        <f>DEC2HEX(G29,4)</f>
        <v>0000</v>
      </c>
      <c r="W29" s="11"/>
    </row>
    <row r="30" spans="2:24" x14ac:dyDescent="0.3">
      <c r="B30" s="64" t="s">
        <v>26</v>
      </c>
      <c r="C30" s="50"/>
      <c r="D30" s="50"/>
      <c r="E30" s="52" t="s">
        <v>27</v>
      </c>
      <c r="F30" s="50"/>
      <c r="G30" s="27">
        <v>5</v>
      </c>
      <c r="H30" s="44" t="str">
        <f>DEC2HEX(G30*60,4)</f>
        <v>012C</v>
      </c>
      <c r="W30" s="11"/>
    </row>
    <row r="31" spans="2:24" x14ac:dyDescent="0.3">
      <c r="B31" s="64" t="s">
        <v>22</v>
      </c>
      <c r="C31" s="50"/>
      <c r="D31" s="50"/>
      <c r="E31" s="52" t="s">
        <v>28</v>
      </c>
      <c r="F31" s="50"/>
      <c r="G31" s="103">
        <v>0</v>
      </c>
      <c r="H31" s="44" t="str">
        <f t="shared" ref="H31:H44" si="2">DEC2HEX(G31,4)</f>
        <v>0000</v>
      </c>
      <c r="W31" s="11"/>
    </row>
    <row r="32" spans="2:24" x14ac:dyDescent="0.3">
      <c r="B32" s="64" t="s">
        <v>22</v>
      </c>
      <c r="C32" s="50"/>
      <c r="D32" s="50"/>
      <c r="E32" s="52" t="s">
        <v>29</v>
      </c>
      <c r="F32" s="50"/>
      <c r="G32" s="103">
        <v>0</v>
      </c>
      <c r="H32" s="44" t="str">
        <f>DEC2HEX(G32*3600,4)</f>
        <v>0000</v>
      </c>
      <c r="W32" s="11"/>
    </row>
    <row r="33" spans="2:23" x14ac:dyDescent="0.3">
      <c r="B33" s="64" t="s">
        <v>30</v>
      </c>
      <c r="C33" s="50"/>
      <c r="D33" s="50"/>
      <c r="E33" s="52" t="s">
        <v>31</v>
      </c>
      <c r="F33" s="50"/>
      <c r="G33" s="28">
        <v>35</v>
      </c>
      <c r="H33" s="44" t="str">
        <f>IF(G33&lt;0,DEC2HEX(65536+(G33*10),4),DEC2HEX(G33*10,4))</f>
        <v>015E</v>
      </c>
      <c r="W33" s="11"/>
    </row>
    <row r="34" spans="2:23" x14ac:dyDescent="0.3">
      <c r="B34" s="64" t="s">
        <v>32</v>
      </c>
      <c r="C34" s="50"/>
      <c r="D34" s="50"/>
      <c r="E34" s="52" t="s">
        <v>33</v>
      </c>
      <c r="F34" s="50"/>
      <c r="G34" s="28">
        <v>20</v>
      </c>
      <c r="H34" s="44" t="str">
        <f>IF(G34&lt;0,DEC2HEX(65536+(G34*10),4),DEC2HEX(G34*10,4))</f>
        <v>00C8</v>
      </c>
      <c r="W34" s="11"/>
    </row>
    <row r="35" spans="2:23" x14ac:dyDescent="0.3">
      <c r="B35" s="64" t="s">
        <v>34</v>
      </c>
      <c r="C35" s="50"/>
      <c r="D35" s="50"/>
      <c r="E35" s="52" t="s">
        <v>23</v>
      </c>
      <c r="F35" s="50"/>
      <c r="G35" s="44">
        <v>0</v>
      </c>
      <c r="H35" s="44" t="str">
        <f>DEC2HEX(G35*10,4)</f>
        <v>0000</v>
      </c>
      <c r="W35" s="11"/>
    </row>
    <row r="36" spans="2:23" x14ac:dyDescent="0.3">
      <c r="B36" s="65" t="s">
        <v>36</v>
      </c>
      <c r="C36" s="50"/>
      <c r="D36" s="50"/>
      <c r="E36" s="52" t="s">
        <v>23</v>
      </c>
      <c r="F36" s="50"/>
      <c r="G36" s="44">
        <v>0</v>
      </c>
      <c r="H36" s="44" t="str">
        <f>DEC2HEX(G36*10,4)</f>
        <v>0000</v>
      </c>
      <c r="W36" s="11"/>
    </row>
    <row r="37" spans="2:23" x14ac:dyDescent="0.3">
      <c r="B37" s="49" t="s">
        <v>38</v>
      </c>
      <c r="C37" s="50"/>
      <c r="D37" s="50"/>
      <c r="E37" s="52" t="s">
        <v>23</v>
      </c>
      <c r="F37" s="50"/>
      <c r="G37" s="44">
        <v>0</v>
      </c>
      <c r="H37" s="44" t="str">
        <f t="shared" si="2"/>
        <v>0000</v>
      </c>
      <c r="W37" s="11"/>
    </row>
    <row r="38" spans="2:23" x14ac:dyDescent="0.3">
      <c r="B38" s="49" t="s">
        <v>39</v>
      </c>
      <c r="C38" s="50"/>
      <c r="D38" s="50"/>
      <c r="E38" s="52" t="s">
        <v>23</v>
      </c>
      <c r="F38" s="50"/>
      <c r="G38" s="44">
        <v>0</v>
      </c>
      <c r="H38" s="44" t="str">
        <f t="shared" si="2"/>
        <v>0000</v>
      </c>
      <c r="W38" s="11"/>
    </row>
    <row r="39" spans="2:23" x14ac:dyDescent="0.3">
      <c r="B39" s="49" t="s">
        <v>40</v>
      </c>
      <c r="C39" s="50"/>
      <c r="D39" s="50"/>
      <c r="E39" s="52" t="s">
        <v>23</v>
      </c>
      <c r="F39" s="50"/>
      <c r="G39" s="44">
        <v>0</v>
      </c>
      <c r="H39" s="44" t="str">
        <f t="shared" si="2"/>
        <v>0000</v>
      </c>
      <c r="W39" s="11"/>
    </row>
    <row r="40" spans="2:23" x14ac:dyDescent="0.3">
      <c r="B40" s="49" t="s">
        <v>41</v>
      </c>
      <c r="C40" s="50"/>
      <c r="D40" s="50"/>
      <c r="E40" s="52" t="s">
        <v>23</v>
      </c>
      <c r="F40" s="50"/>
      <c r="G40" s="44">
        <v>0</v>
      </c>
      <c r="H40" s="44" t="str">
        <f t="shared" si="2"/>
        <v>0000</v>
      </c>
      <c r="W40" s="11"/>
    </row>
    <row r="41" spans="2:23" x14ac:dyDescent="0.3">
      <c r="B41" s="49" t="s">
        <v>42</v>
      </c>
      <c r="C41" s="50"/>
      <c r="D41" s="50"/>
      <c r="E41" s="52" t="s">
        <v>23</v>
      </c>
      <c r="F41" s="50"/>
      <c r="G41" s="44">
        <v>0</v>
      </c>
      <c r="H41" s="44" t="str">
        <f t="shared" si="2"/>
        <v>0000</v>
      </c>
      <c r="W41" s="11"/>
    </row>
    <row r="42" spans="2:23" x14ac:dyDescent="0.3">
      <c r="B42" s="49" t="s">
        <v>43</v>
      </c>
      <c r="C42" s="50"/>
      <c r="D42" s="50"/>
      <c r="E42" s="52" t="s">
        <v>23</v>
      </c>
      <c r="F42" s="50"/>
      <c r="G42" s="44">
        <v>0</v>
      </c>
      <c r="H42" s="44" t="str">
        <f t="shared" si="2"/>
        <v>0000</v>
      </c>
      <c r="W42" s="11"/>
    </row>
    <row r="43" spans="2:23" x14ac:dyDescent="0.3">
      <c r="B43" s="49" t="s">
        <v>44</v>
      </c>
      <c r="C43" s="50"/>
      <c r="D43" s="50"/>
      <c r="E43" s="52" t="s">
        <v>23</v>
      </c>
      <c r="F43" s="50"/>
      <c r="G43" s="44">
        <v>0</v>
      </c>
      <c r="H43" s="44" t="str">
        <f t="shared" si="2"/>
        <v>0000</v>
      </c>
      <c r="W43" s="11"/>
    </row>
    <row r="44" spans="2:23" x14ac:dyDescent="0.3">
      <c r="B44" s="49" t="s">
        <v>45</v>
      </c>
      <c r="C44" s="50"/>
      <c r="D44" s="50"/>
      <c r="E44" s="52" t="s">
        <v>23</v>
      </c>
      <c r="F44" s="50"/>
      <c r="G44" s="44">
        <v>0</v>
      </c>
      <c r="H44" s="44" t="str">
        <f t="shared" si="2"/>
        <v>0000</v>
      </c>
      <c r="W44" s="11"/>
    </row>
    <row r="45" spans="2:23" x14ac:dyDescent="0.3">
      <c r="B45" s="49" t="s">
        <v>22</v>
      </c>
      <c r="C45" s="50"/>
      <c r="D45" s="50"/>
      <c r="E45" s="52" t="s">
        <v>46</v>
      </c>
      <c r="F45" s="50"/>
      <c r="G45" s="44">
        <v>1</v>
      </c>
      <c r="H45" s="44" t="str">
        <f>DEC2HEX(G45,2)</f>
        <v>01</v>
      </c>
      <c r="W45" s="11"/>
    </row>
    <row r="46" spans="2:23" ht="15" thickBot="1" x14ac:dyDescent="0.35">
      <c r="B46" s="23"/>
      <c r="C46" s="24"/>
      <c r="D46" s="24"/>
      <c r="E46" s="25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6"/>
    </row>
    <row r="47" spans="2:23" ht="15" thickTop="1" x14ac:dyDescent="0.3"/>
  </sheetData>
  <mergeCells count="49">
    <mergeCell ref="B2:E2"/>
    <mergeCell ref="B3:F3"/>
    <mergeCell ref="B25:D25"/>
    <mergeCell ref="E25:G25"/>
    <mergeCell ref="I25:W25"/>
    <mergeCell ref="U14:V19"/>
    <mergeCell ref="B26:D26"/>
    <mergeCell ref="E26:F26"/>
    <mergeCell ref="I26:W26"/>
    <mergeCell ref="B27:D27"/>
    <mergeCell ref="E27:F27"/>
    <mergeCell ref="I27:W28"/>
    <mergeCell ref="B28:D28"/>
    <mergeCell ref="E28:F28"/>
    <mergeCell ref="B29:D29"/>
    <mergeCell ref="E29:F29"/>
    <mergeCell ref="B30:D30"/>
    <mergeCell ref="E30:F30"/>
    <mergeCell ref="B31:D31"/>
    <mergeCell ref="E31:F31"/>
    <mergeCell ref="B32:D32"/>
    <mergeCell ref="E32:F32"/>
    <mergeCell ref="B33:D33"/>
    <mergeCell ref="E33:F33"/>
    <mergeCell ref="B34:D34"/>
    <mergeCell ref="E34:F34"/>
    <mergeCell ref="E40:F40"/>
    <mergeCell ref="B35:D35"/>
    <mergeCell ref="E35:F35"/>
    <mergeCell ref="B36:D36"/>
    <mergeCell ref="E36:F36"/>
    <mergeCell ref="B37:D37"/>
    <mergeCell ref="E37:F37"/>
    <mergeCell ref="B44:D44"/>
    <mergeCell ref="E44:F44"/>
    <mergeCell ref="B45:D45"/>
    <mergeCell ref="E45:F45"/>
    <mergeCell ref="B24:W24"/>
    <mergeCell ref="B41:D41"/>
    <mergeCell ref="E41:F41"/>
    <mergeCell ref="B42:D42"/>
    <mergeCell ref="E42:F42"/>
    <mergeCell ref="B43:D43"/>
    <mergeCell ref="E43:F43"/>
    <mergeCell ref="B38:D38"/>
    <mergeCell ref="E38:F38"/>
    <mergeCell ref="B39:D39"/>
    <mergeCell ref="E39:F39"/>
    <mergeCell ref="B40:D4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C01CE-CDB4-DB49-83CD-D8E407170324}">
  <dimension ref="A1:X63"/>
  <sheetViews>
    <sheetView topLeftCell="A21" workbookViewId="0">
      <selection activeCell="G33" sqref="G33"/>
    </sheetView>
  </sheetViews>
  <sheetFormatPr baseColWidth="10" defaultColWidth="10.77734375" defaultRowHeight="14.4" x14ac:dyDescent="0.3"/>
  <cols>
    <col min="1" max="1" width="15" customWidth="1"/>
    <col min="2" max="2" width="7.77734375" customWidth="1"/>
    <col min="3" max="3" width="7" customWidth="1"/>
    <col min="4" max="4" width="15.44140625" customWidth="1"/>
    <col min="5" max="5" width="13" style="1" customWidth="1"/>
    <col min="6" max="6" width="26.109375" customWidth="1"/>
    <col min="7" max="7" width="11" customWidth="1"/>
    <col min="8" max="8" width="9.6640625" customWidth="1"/>
    <col min="9" max="13" width="7.77734375" customWidth="1"/>
    <col min="14" max="16" width="12.77734375" customWidth="1"/>
    <col min="17" max="17" width="13.6640625" customWidth="1"/>
    <col min="18" max="20" width="12.77734375" customWidth="1"/>
    <col min="21" max="21" width="7.77734375" customWidth="1"/>
    <col min="22" max="24" width="12.77734375" customWidth="1"/>
  </cols>
  <sheetData>
    <row r="1" spans="1:24" ht="15" thickBot="1" x14ac:dyDescent="0.35"/>
    <row r="2" spans="1:24" ht="18.600000000000001" thickTop="1" x14ac:dyDescent="0.35">
      <c r="B2" s="81" t="s">
        <v>0</v>
      </c>
      <c r="C2" s="82"/>
      <c r="D2" s="82"/>
      <c r="E2" s="82"/>
      <c r="F2" s="29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9"/>
    </row>
    <row r="3" spans="1:24" ht="18" x14ac:dyDescent="0.35">
      <c r="A3" s="2"/>
      <c r="B3" s="83" t="s">
        <v>57</v>
      </c>
      <c r="C3" s="84"/>
      <c r="D3" s="84"/>
      <c r="E3" s="84"/>
      <c r="F3" s="85"/>
      <c r="X3" s="11"/>
    </row>
    <row r="4" spans="1:24" x14ac:dyDescent="0.3">
      <c r="A4" s="2"/>
      <c r="B4" s="42"/>
      <c r="X4" s="11"/>
    </row>
    <row r="5" spans="1:24" x14ac:dyDescent="0.3">
      <c r="B5" s="12" t="s">
        <v>2</v>
      </c>
      <c r="C5" s="13" t="s">
        <v>3</v>
      </c>
      <c r="D5" s="14" t="s">
        <v>4</v>
      </c>
      <c r="E5" s="15" t="s">
        <v>5</v>
      </c>
      <c r="X5" s="11"/>
    </row>
    <row r="6" spans="1:24" x14ac:dyDescent="0.3">
      <c r="A6" s="2"/>
      <c r="B6" s="16">
        <v>1</v>
      </c>
      <c r="C6" s="44">
        <v>6</v>
      </c>
      <c r="D6" s="1" t="str">
        <f t="shared" ref="D6:D14" si="0">MID($B$3,B6,C6)</f>
        <v>000095</v>
      </c>
      <c r="E6" s="5">
        <f t="shared" ref="E6:E14" si="1">HEX2DEC(D6)</f>
        <v>149</v>
      </c>
      <c r="F6" t="s">
        <v>6</v>
      </c>
      <c r="X6" s="11"/>
    </row>
    <row r="7" spans="1:24" x14ac:dyDescent="0.3">
      <c r="A7" s="2"/>
      <c r="B7" s="16">
        <f t="shared" ref="B7:B14" si="2">B6+C6</f>
        <v>7</v>
      </c>
      <c r="C7" s="44">
        <v>2</v>
      </c>
      <c r="D7" s="1" t="str">
        <f t="shared" si="0"/>
        <v>08</v>
      </c>
      <c r="E7" s="5">
        <f t="shared" si="1"/>
        <v>8</v>
      </c>
      <c r="F7" t="s">
        <v>58</v>
      </c>
      <c r="X7" s="11"/>
    </row>
    <row r="8" spans="1:24" x14ac:dyDescent="0.3">
      <c r="A8" s="2"/>
      <c r="B8" s="16">
        <f t="shared" si="2"/>
        <v>9</v>
      </c>
      <c r="C8" s="44">
        <v>2</v>
      </c>
      <c r="D8" s="1" t="str">
        <f t="shared" si="0"/>
        <v>0C</v>
      </c>
      <c r="E8" s="5">
        <f t="shared" si="1"/>
        <v>12</v>
      </c>
      <c r="F8" t="s">
        <v>8</v>
      </c>
      <c r="X8" s="11"/>
    </row>
    <row r="9" spans="1:24" x14ac:dyDescent="0.3">
      <c r="A9" s="2"/>
      <c r="B9" s="16">
        <f t="shared" si="2"/>
        <v>11</v>
      </c>
      <c r="C9" s="44">
        <v>2</v>
      </c>
      <c r="D9" s="1" t="str">
        <f t="shared" si="0"/>
        <v>01</v>
      </c>
      <c r="E9" s="5" t="str">
        <f>HEX2BIN(D9,8)</f>
        <v>00000001</v>
      </c>
      <c r="F9" t="s">
        <v>9</v>
      </c>
      <c r="X9" s="11"/>
    </row>
    <row r="10" spans="1:24" x14ac:dyDescent="0.3">
      <c r="A10" s="2"/>
      <c r="B10" s="16">
        <f t="shared" si="2"/>
        <v>13</v>
      </c>
      <c r="C10" s="44">
        <v>8</v>
      </c>
      <c r="D10" s="1" t="str">
        <f t="shared" si="0"/>
        <v>00000020</v>
      </c>
      <c r="E10" s="5">
        <f t="shared" si="1"/>
        <v>32</v>
      </c>
      <c r="F10" t="s">
        <v>59</v>
      </c>
      <c r="X10" s="11"/>
    </row>
    <row r="11" spans="1:24" x14ac:dyDescent="0.3">
      <c r="A11" s="2"/>
      <c r="B11" s="16">
        <f t="shared" si="2"/>
        <v>21</v>
      </c>
      <c r="C11" s="44">
        <v>8</v>
      </c>
      <c r="D11" s="1" t="str">
        <f t="shared" si="0"/>
        <v>00000017</v>
      </c>
      <c r="E11" s="5">
        <f t="shared" si="1"/>
        <v>23</v>
      </c>
      <c r="F11" t="s">
        <v>60</v>
      </c>
      <c r="X11" s="11"/>
    </row>
    <row r="12" spans="1:24" x14ac:dyDescent="0.3">
      <c r="A12" s="2"/>
      <c r="B12" s="16">
        <f t="shared" si="2"/>
        <v>29</v>
      </c>
      <c r="C12" s="44">
        <v>8</v>
      </c>
      <c r="D12" s="1" t="str">
        <f t="shared" si="0"/>
        <v>0000001E</v>
      </c>
      <c r="E12" s="5">
        <f t="shared" si="1"/>
        <v>30</v>
      </c>
      <c r="F12" t="s">
        <v>61</v>
      </c>
      <c r="X12" s="11"/>
    </row>
    <row r="13" spans="1:24" x14ac:dyDescent="0.3">
      <c r="A13" s="2"/>
      <c r="B13" s="16">
        <f t="shared" si="2"/>
        <v>37</v>
      </c>
      <c r="C13" s="44">
        <v>4</v>
      </c>
      <c r="D13" s="1" t="str">
        <f t="shared" si="0"/>
        <v>0000</v>
      </c>
      <c r="E13" s="5">
        <f t="shared" si="1"/>
        <v>0</v>
      </c>
      <c r="F13" t="s">
        <v>14</v>
      </c>
      <c r="G13" s="44" t="str">
        <f>HEX2BIN(MID(D13,1,2),8)</f>
        <v>00000000</v>
      </c>
      <c r="H13" s="44" t="str">
        <f>HEX2BIN(MID(D13,3,2),8)</f>
        <v>00000000</v>
      </c>
      <c r="I13" s="44">
        <f>IF((MID($G13,1,1)="0"),0,1)</f>
        <v>0</v>
      </c>
      <c r="J13" s="44">
        <f>IF((MID($G13,2,1)="0"),0,1)</f>
        <v>0</v>
      </c>
      <c r="K13" s="44">
        <f>IF((MID($G13,3,1)="0"),0,1)</f>
        <v>0</v>
      </c>
      <c r="L13" s="44">
        <f>IF((MID($G13,4,1)="0"),0,1)</f>
        <v>0</v>
      </c>
      <c r="M13" s="44">
        <f>IF((MID($G13,5,1)="0"),0,1)</f>
        <v>0</v>
      </c>
      <c r="N13" s="18" t="str">
        <f>IF((MID($G13,6,1)="0"),"OC Leak OK","OC Leak Alm")</f>
        <v>OC Leak OK</v>
      </c>
      <c r="O13" s="18" t="str">
        <f>IF((MID($G13,7,1)="0"),"Ch2 Leak OK","Ch2 Leak Alm")</f>
        <v>Ch2 Leak OK</v>
      </c>
      <c r="P13" s="18" t="str">
        <f>IF((MID($G13,8,1)="0"),"Ch1 Leak OK","Ch1 Leak Alm")</f>
        <v>Ch1 Leak OK</v>
      </c>
      <c r="Q13" s="44">
        <f>IF((MID($H13,1,1)="0"),0,1)</f>
        <v>0</v>
      </c>
      <c r="R13" s="19" t="str">
        <f>IF((MID($H13,2,1)="0"),"OC Lo Flow OK","OC Lo Flow Alm")</f>
        <v>OC Lo Flow OK</v>
      </c>
      <c r="S13" s="19" t="str">
        <f>IF((MID($H13,3,1)="0"),"Ch2 Lo Flow OK","Ch2 Lo Flow Alm")</f>
        <v>Ch2 Lo Flow OK</v>
      </c>
      <c r="T13" s="19" t="str">
        <f>IF((MID($H13,4,1)="0"),"Ch1 Lo Flow OK","Ch1 Lo Flow Alm")</f>
        <v>Ch1 Lo Flow OK</v>
      </c>
      <c r="U13" s="44">
        <f>IF((MID($H13,5,1)="0"),0,1)</f>
        <v>0</v>
      </c>
      <c r="V13" s="20" t="str">
        <f>IF((MID($H13,6,1)="0"),"OC Hi Flow OK","OC Hi Flow Alm")</f>
        <v>OC Hi Flow OK</v>
      </c>
      <c r="W13" s="20" t="str">
        <f>IF((MID($H13,7,1)="0"),"Ch2 Hi Flow OK","Ch2 Hi Flow Alm")</f>
        <v>Ch2 Hi Flow OK</v>
      </c>
      <c r="X13" s="30" t="str">
        <f>IF((MID($H13,8,1)="0"),"Ch1 Hi Flow OK","Ch1 Hi Flow Alm")</f>
        <v>Ch1 Hi Flow OK</v>
      </c>
    </row>
    <row r="14" spans="1:24" x14ac:dyDescent="0.3">
      <c r="A14" s="2"/>
      <c r="B14" s="16">
        <f t="shared" si="2"/>
        <v>41</v>
      </c>
      <c r="C14" s="44">
        <v>4</v>
      </c>
      <c r="D14" s="1" t="str">
        <f t="shared" si="0"/>
        <v>0000</v>
      </c>
      <c r="E14" s="5">
        <f t="shared" si="1"/>
        <v>0</v>
      </c>
      <c r="F14" s="21" t="s">
        <v>15</v>
      </c>
      <c r="G14" s="44" t="str">
        <f>HEX2BIN(MID(D14,1,2),8)</f>
        <v>00000000</v>
      </c>
      <c r="H14" s="44" t="str">
        <f>HEX2BIN(MID(D14,3,2),8)</f>
        <v>00000000</v>
      </c>
      <c r="I14" s="44">
        <f>IF((MID($G14,1,1)="0"),0,1)</f>
        <v>0</v>
      </c>
      <c r="J14" s="44">
        <f>IF((MID($G14,2,1)="0"),0,1)</f>
        <v>0</v>
      </c>
      <c r="K14" s="44">
        <f>IF((MID($G14,3,1)="0"),0,1)</f>
        <v>0</v>
      </c>
      <c r="L14" s="44">
        <f>IF((MID($G14,4,1)="0"),0,1)</f>
        <v>0</v>
      </c>
      <c r="M14" s="44">
        <f>IF((MID($G14,5,1)="0"),0,1)</f>
        <v>0</v>
      </c>
      <c r="N14" s="41" t="str">
        <f>IF((MID($G14,6,1)="0"),"OC debounce DIS","OC debounce EN")</f>
        <v>OC debounce DIS</v>
      </c>
      <c r="O14" s="41" t="str">
        <f>IF((MID($G14,7,1)="0"),"Ch2 debounce DIS","Ch2 debounce EN")</f>
        <v>Ch2 debounce DIS</v>
      </c>
      <c r="P14" s="41" t="str">
        <f>IF((MID($G14,8,1)="0"),"Ch1debounce DIS","Ch1 debounce EN")</f>
        <v>Ch1debounce DIS</v>
      </c>
      <c r="Q14" s="19" t="str">
        <f>IF((MID($H14,1,1)="0"),"OC Open","OC Closed")</f>
        <v>OC Open</v>
      </c>
      <c r="R14" s="19" t="str">
        <f>IF((MID($H14,2,1)="0"),"Ch2 Open","Ch2 Closed")</f>
        <v>Ch2 Open</v>
      </c>
      <c r="S14" s="19" t="str">
        <f>IF((MID($H14,3,1)="0"),"Ch1 Open","Ch1 Closed")</f>
        <v>Ch1 Open</v>
      </c>
      <c r="T14" s="19">
        <f>IF((MID($H14,4,1)="0"),0,1)</f>
        <v>0</v>
      </c>
      <c r="U14" s="3">
        <f>IF((MID($H14,5,1)="0"),0,1)</f>
        <v>0</v>
      </c>
      <c r="V14" s="4">
        <f>IF((MID($H14,6,1)="0"),0,1)</f>
        <v>0</v>
      </c>
      <c r="W14" s="20">
        <f>IF((MID($H14,7,1)="0"),0,1)</f>
        <v>0</v>
      </c>
      <c r="X14" s="30" t="str">
        <f>IF((MID($H14,8,1)="0"),"Normal","Alarm")</f>
        <v>Normal</v>
      </c>
    </row>
    <row r="15" spans="1:24" ht="15" customHeight="1" x14ac:dyDescent="0.3">
      <c r="A15" s="2"/>
      <c r="B15" s="16"/>
      <c r="C15" s="44"/>
      <c r="D15" s="1"/>
      <c r="E15" s="5"/>
      <c r="F15" s="31"/>
      <c r="G15" s="32"/>
      <c r="H15" s="33"/>
      <c r="U15" s="76" t="s">
        <v>16</v>
      </c>
      <c r="V15" s="77"/>
      <c r="W15" s="44"/>
      <c r="X15" s="36"/>
    </row>
    <row r="16" spans="1:24" x14ac:dyDescent="0.3">
      <c r="A16" s="2"/>
      <c r="B16" s="16"/>
      <c r="C16" s="44"/>
      <c r="D16" s="1"/>
      <c r="E16" s="17"/>
      <c r="U16" s="78"/>
      <c r="V16" s="77"/>
      <c r="W16" s="44"/>
      <c r="X16" s="36"/>
    </row>
    <row r="17" spans="2:24" x14ac:dyDescent="0.3">
      <c r="B17" s="22"/>
      <c r="E17" s="17"/>
      <c r="U17" s="78"/>
      <c r="V17" s="77"/>
      <c r="W17" s="44"/>
      <c r="X17" s="36"/>
    </row>
    <row r="18" spans="2:24" x14ac:dyDescent="0.3">
      <c r="B18" s="22"/>
      <c r="E18" s="17"/>
      <c r="U18" s="78"/>
      <c r="V18" s="77"/>
      <c r="W18" s="44"/>
      <c r="X18" s="36"/>
    </row>
    <row r="19" spans="2:24" x14ac:dyDescent="0.3">
      <c r="B19" s="22"/>
      <c r="E19" s="17"/>
      <c r="U19" s="78"/>
      <c r="V19" s="77"/>
      <c r="W19" s="44"/>
      <c r="X19" s="36"/>
    </row>
    <row r="20" spans="2:24" x14ac:dyDescent="0.3">
      <c r="B20" s="22"/>
      <c r="U20" s="79"/>
      <c r="V20" s="80"/>
      <c r="W20" s="44"/>
      <c r="X20" s="36"/>
    </row>
    <row r="21" spans="2:24" ht="15" thickBot="1" x14ac:dyDescent="0.35">
      <c r="B21" s="23"/>
      <c r="C21" s="24"/>
      <c r="D21" s="24"/>
      <c r="E21" s="25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6"/>
    </row>
    <row r="22" spans="2:24" ht="15" thickTop="1" x14ac:dyDescent="0.3"/>
    <row r="24" spans="2:24" ht="15" thickBot="1" x14ac:dyDescent="0.35"/>
    <row r="25" spans="2:24" ht="27" thickTop="1" thickBot="1" x14ac:dyDescent="0.55000000000000004">
      <c r="B25" s="73" t="s">
        <v>17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5"/>
    </row>
    <row r="26" spans="2:24" ht="39" customHeight="1" thickTop="1" x14ac:dyDescent="0.35">
      <c r="B26" s="71" t="s">
        <v>18</v>
      </c>
      <c r="C26" s="56"/>
      <c r="D26" s="56"/>
      <c r="E26" s="60" t="s">
        <v>19</v>
      </c>
      <c r="F26" s="61"/>
      <c r="G26" s="62"/>
      <c r="H26" s="45" t="s">
        <v>20</v>
      </c>
      <c r="I26" s="55" t="s">
        <v>21</v>
      </c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7"/>
      <c r="V26" s="57"/>
      <c r="W26" s="58"/>
    </row>
    <row r="27" spans="2:24" x14ac:dyDescent="0.3">
      <c r="B27" s="72"/>
      <c r="C27" s="50"/>
      <c r="D27" s="50"/>
      <c r="E27" s="51"/>
      <c r="F27" s="50"/>
      <c r="G27" s="43"/>
      <c r="H27" s="43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9"/>
    </row>
    <row r="28" spans="2:24" x14ac:dyDescent="0.3">
      <c r="B28" s="64" t="s">
        <v>22</v>
      </c>
      <c r="C28" s="50"/>
      <c r="D28" s="50"/>
      <c r="E28" s="52" t="s">
        <v>23</v>
      </c>
      <c r="F28" s="50"/>
      <c r="G28" s="44">
        <v>0</v>
      </c>
      <c r="H28" s="44" t="str">
        <f>DEC2HEX(G28,6)</f>
        <v>000000</v>
      </c>
      <c r="I28" s="53" t="str">
        <f>H28&amp;H29&amp;H30&amp;H31&amp;H32&amp;H33&amp;H34&amp;H35&amp;H36&amp;H37&amp;H38&amp;H39&amp;H40&amp;H41&amp;H42&amp;H43&amp;H44&amp;H45&amp;H46</f>
        <v>000000030000012C000000000064000A0001000F00C8001400020019012C001E0003002301</v>
      </c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4"/>
      <c r="U28" s="53"/>
      <c r="V28" s="53"/>
      <c r="W28" s="54"/>
    </row>
    <row r="29" spans="2:24" x14ac:dyDescent="0.3">
      <c r="B29" s="64" t="s">
        <v>24</v>
      </c>
      <c r="C29" s="50"/>
      <c r="D29" s="50"/>
      <c r="E29" s="52" t="s">
        <v>25</v>
      </c>
      <c r="F29" s="50"/>
      <c r="G29" s="44">
        <v>3</v>
      </c>
      <c r="H29" s="44" t="str">
        <f>DEC2HEX(G29,2)</f>
        <v>03</v>
      </c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3"/>
      <c r="V29" s="53"/>
      <c r="W29" s="54"/>
    </row>
    <row r="30" spans="2:24" x14ac:dyDescent="0.3">
      <c r="B30" s="64" t="s">
        <v>22</v>
      </c>
      <c r="C30" s="50"/>
      <c r="D30" s="50"/>
      <c r="E30" s="52" t="s">
        <v>23</v>
      </c>
      <c r="F30" s="50"/>
      <c r="G30" s="44">
        <v>0</v>
      </c>
      <c r="H30" s="44" t="str">
        <f>DEC2HEX(G30,4)</f>
        <v>0000</v>
      </c>
      <c r="W30" s="11"/>
    </row>
    <row r="31" spans="2:24" x14ac:dyDescent="0.3">
      <c r="B31" s="64" t="s">
        <v>26</v>
      </c>
      <c r="C31" s="50"/>
      <c r="D31" s="50"/>
      <c r="E31" s="52" t="s">
        <v>27</v>
      </c>
      <c r="F31" s="50"/>
      <c r="G31" s="27">
        <v>5</v>
      </c>
      <c r="H31" s="44" t="str">
        <f>DEC2HEX(G31*60,4)</f>
        <v>012C</v>
      </c>
      <c r="W31" s="11"/>
    </row>
    <row r="32" spans="2:24" x14ac:dyDescent="0.3">
      <c r="B32" s="64" t="s">
        <v>22</v>
      </c>
      <c r="C32" s="50"/>
      <c r="D32" s="50"/>
      <c r="E32" s="52" t="s">
        <v>28</v>
      </c>
      <c r="F32" s="50"/>
      <c r="G32" s="103">
        <v>0</v>
      </c>
      <c r="H32" s="44" t="str">
        <f t="shared" ref="H32" si="3">DEC2HEX(G32,4)</f>
        <v>0000</v>
      </c>
      <c r="W32" s="11"/>
    </row>
    <row r="33" spans="2:23" x14ac:dyDescent="0.3">
      <c r="B33" s="64" t="s">
        <v>22</v>
      </c>
      <c r="C33" s="50"/>
      <c r="D33" s="50"/>
      <c r="E33" s="52" t="s">
        <v>29</v>
      </c>
      <c r="F33" s="50"/>
      <c r="G33" s="103">
        <v>0</v>
      </c>
      <c r="H33" s="44" t="str">
        <f>DEC2HEX(G33*3600,4)</f>
        <v>0000</v>
      </c>
      <c r="W33" s="11"/>
    </row>
    <row r="34" spans="2:23" x14ac:dyDescent="0.3">
      <c r="B34" s="64" t="s">
        <v>30</v>
      </c>
      <c r="C34" s="50"/>
      <c r="D34" s="50"/>
      <c r="E34" s="52" t="s">
        <v>62</v>
      </c>
      <c r="F34" s="52"/>
      <c r="G34" s="35">
        <v>100</v>
      </c>
      <c r="H34" s="44" t="str">
        <f>DEC2HEX(G34,4)</f>
        <v>0064</v>
      </c>
      <c r="W34" s="11"/>
    </row>
    <row r="35" spans="2:23" x14ac:dyDescent="0.3">
      <c r="B35" s="64" t="s">
        <v>32</v>
      </c>
      <c r="C35" s="50"/>
      <c r="D35" s="50"/>
      <c r="E35" s="52" t="s">
        <v>63</v>
      </c>
      <c r="F35" s="52"/>
      <c r="G35" s="35">
        <v>10</v>
      </c>
      <c r="H35" s="44" t="str">
        <f>DEC2HEX(G35,4)</f>
        <v>000A</v>
      </c>
      <c r="W35" s="11"/>
    </row>
    <row r="36" spans="2:23" x14ac:dyDescent="0.3">
      <c r="B36" s="64" t="s">
        <v>34</v>
      </c>
      <c r="C36" s="50"/>
      <c r="D36" s="50"/>
      <c r="E36" s="52" t="s">
        <v>64</v>
      </c>
      <c r="F36" s="52"/>
      <c r="G36" s="35">
        <v>1</v>
      </c>
      <c r="H36" s="44" t="str">
        <f>DEC2HEX(G36,4)</f>
        <v>0001</v>
      </c>
      <c r="W36" s="11"/>
    </row>
    <row r="37" spans="2:23" x14ac:dyDescent="0.3">
      <c r="B37" s="65" t="s">
        <v>36</v>
      </c>
      <c r="C37" s="50"/>
      <c r="D37" s="50"/>
      <c r="E37" s="63" t="s">
        <v>65</v>
      </c>
      <c r="F37" s="52"/>
      <c r="G37" s="35">
        <v>15</v>
      </c>
      <c r="H37" s="44" t="str">
        <f>DEC2HEX(G37,4)</f>
        <v>000F</v>
      </c>
      <c r="W37" s="11"/>
    </row>
    <row r="38" spans="2:23" x14ac:dyDescent="0.3">
      <c r="B38" s="49" t="s">
        <v>38</v>
      </c>
      <c r="C38" s="50"/>
      <c r="D38" s="50"/>
      <c r="E38" s="52" t="s">
        <v>66</v>
      </c>
      <c r="F38" s="52"/>
      <c r="G38" s="35">
        <v>200</v>
      </c>
      <c r="H38" s="44" t="str">
        <f t="shared" ref="H38:H45" si="4">DEC2HEX(G38,4)</f>
        <v>00C8</v>
      </c>
      <c r="W38" s="11"/>
    </row>
    <row r="39" spans="2:23" x14ac:dyDescent="0.3">
      <c r="B39" s="49" t="s">
        <v>39</v>
      </c>
      <c r="C39" s="50"/>
      <c r="D39" s="50"/>
      <c r="E39" s="52" t="s">
        <v>67</v>
      </c>
      <c r="F39" s="52"/>
      <c r="G39" s="35">
        <v>20</v>
      </c>
      <c r="H39" s="44" t="str">
        <f t="shared" si="4"/>
        <v>0014</v>
      </c>
      <c r="W39" s="11"/>
    </row>
    <row r="40" spans="2:23" x14ac:dyDescent="0.3">
      <c r="B40" s="49" t="s">
        <v>40</v>
      </c>
      <c r="C40" s="50"/>
      <c r="D40" s="50"/>
      <c r="E40" s="52" t="s">
        <v>68</v>
      </c>
      <c r="F40" s="52"/>
      <c r="G40" s="35">
        <v>2</v>
      </c>
      <c r="H40" s="44" t="str">
        <f t="shared" si="4"/>
        <v>0002</v>
      </c>
      <c r="W40" s="11"/>
    </row>
    <row r="41" spans="2:23" x14ac:dyDescent="0.3">
      <c r="B41" s="49" t="s">
        <v>41</v>
      </c>
      <c r="C41" s="50"/>
      <c r="D41" s="50"/>
      <c r="E41" s="63" t="s">
        <v>69</v>
      </c>
      <c r="F41" s="52"/>
      <c r="G41" s="35">
        <v>25</v>
      </c>
      <c r="H41" s="44" t="str">
        <f t="shared" si="4"/>
        <v>0019</v>
      </c>
      <c r="W41" s="11"/>
    </row>
    <row r="42" spans="2:23" x14ac:dyDescent="0.3">
      <c r="B42" s="49" t="s">
        <v>42</v>
      </c>
      <c r="C42" s="50"/>
      <c r="D42" s="50"/>
      <c r="E42" s="52" t="s">
        <v>70</v>
      </c>
      <c r="F42" s="52"/>
      <c r="G42" s="35">
        <v>300</v>
      </c>
      <c r="H42" s="44" t="str">
        <f t="shared" si="4"/>
        <v>012C</v>
      </c>
      <c r="W42" s="11"/>
    </row>
    <row r="43" spans="2:23" x14ac:dyDescent="0.3">
      <c r="B43" s="49" t="s">
        <v>43</v>
      </c>
      <c r="C43" s="50"/>
      <c r="D43" s="50"/>
      <c r="E43" s="52" t="s">
        <v>71</v>
      </c>
      <c r="F43" s="52"/>
      <c r="G43" s="35">
        <v>30</v>
      </c>
      <c r="H43" s="44" t="str">
        <f t="shared" si="4"/>
        <v>001E</v>
      </c>
      <c r="W43" s="11"/>
    </row>
    <row r="44" spans="2:23" x14ac:dyDescent="0.3">
      <c r="B44" s="49" t="s">
        <v>44</v>
      </c>
      <c r="C44" s="50"/>
      <c r="D44" s="50"/>
      <c r="E44" s="52" t="s">
        <v>72</v>
      </c>
      <c r="F44" s="52"/>
      <c r="G44" s="35">
        <v>3</v>
      </c>
      <c r="H44" s="44" t="str">
        <f t="shared" si="4"/>
        <v>0003</v>
      </c>
      <c r="W44" s="11"/>
    </row>
    <row r="45" spans="2:23" x14ac:dyDescent="0.3">
      <c r="B45" s="49" t="s">
        <v>45</v>
      </c>
      <c r="C45" s="50"/>
      <c r="D45" s="50"/>
      <c r="E45" s="63" t="s">
        <v>73</v>
      </c>
      <c r="F45" s="52"/>
      <c r="G45" s="35">
        <v>35</v>
      </c>
      <c r="H45" s="44" t="str">
        <f t="shared" si="4"/>
        <v>0023</v>
      </c>
      <c r="W45" s="11"/>
    </row>
    <row r="46" spans="2:23" x14ac:dyDescent="0.3">
      <c r="B46" s="49" t="s">
        <v>22</v>
      </c>
      <c r="C46" s="50"/>
      <c r="D46" s="50"/>
      <c r="E46" s="52" t="s">
        <v>46</v>
      </c>
      <c r="F46" s="50"/>
      <c r="G46" s="44">
        <v>1</v>
      </c>
      <c r="H46" s="44" t="str">
        <f>DEC2HEX(G46,2)</f>
        <v>01</v>
      </c>
      <c r="W46" s="11"/>
    </row>
    <row r="47" spans="2:23" ht="15" thickBot="1" x14ac:dyDescent="0.35">
      <c r="B47" s="23"/>
      <c r="C47" s="24"/>
      <c r="D47" s="24"/>
      <c r="E47" s="25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6"/>
    </row>
    <row r="48" spans="2:23" ht="15" thickTop="1" x14ac:dyDescent="0.3"/>
    <row r="50" spans="2:14" ht="15" thickBot="1" x14ac:dyDescent="0.35"/>
    <row r="51" spans="2:14" ht="32.25" customHeight="1" thickBot="1" x14ac:dyDescent="0.45">
      <c r="B51" s="94" t="s">
        <v>74</v>
      </c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6"/>
    </row>
    <row r="52" spans="2:14" ht="39" customHeight="1" x14ac:dyDescent="0.35">
      <c r="B52" s="92" t="s">
        <v>18</v>
      </c>
      <c r="C52" s="93"/>
      <c r="D52" s="93"/>
      <c r="E52" s="97" t="s">
        <v>19</v>
      </c>
      <c r="F52" s="97"/>
      <c r="G52" s="97"/>
      <c r="H52" s="46" t="s">
        <v>20</v>
      </c>
      <c r="I52" s="99" t="s">
        <v>75</v>
      </c>
      <c r="J52" s="99"/>
      <c r="K52" s="99"/>
      <c r="L52" s="99"/>
      <c r="M52" s="99"/>
      <c r="N52" s="100"/>
    </row>
    <row r="53" spans="2:14" ht="15" customHeight="1" x14ac:dyDescent="0.3">
      <c r="B53" s="88" t="s">
        <v>22</v>
      </c>
      <c r="C53" s="89"/>
      <c r="D53" s="89"/>
      <c r="E53" s="98" t="s">
        <v>76</v>
      </c>
      <c r="F53" s="98"/>
      <c r="G53">
        <v>0</v>
      </c>
      <c r="H53" t="str">
        <f>DEC2HEX(G53,6)</f>
        <v>000000</v>
      </c>
      <c r="I53" s="101" t="str">
        <f>H53&amp;H54&amp;H55&amp;H56&amp;H57&amp;H58&amp;H59&amp;H60&amp;H61&amp;H62</f>
        <v>000000160000000504000500040003000001</v>
      </c>
      <c r="J53" s="101"/>
      <c r="K53" s="101"/>
      <c r="L53" s="101"/>
      <c r="M53" s="101"/>
      <c r="N53" s="102"/>
    </row>
    <row r="54" spans="2:14" ht="15" customHeight="1" x14ac:dyDescent="0.3">
      <c r="B54" s="88" t="s">
        <v>77</v>
      </c>
      <c r="C54" s="89"/>
      <c r="D54" s="89"/>
      <c r="E54" s="86" t="s">
        <v>113</v>
      </c>
      <c r="F54" s="86"/>
      <c r="G54">
        <v>22</v>
      </c>
      <c r="H54" t="str">
        <f>DEC2HEX(G54,2)</f>
        <v>16</v>
      </c>
      <c r="I54" s="101"/>
      <c r="J54" s="101"/>
      <c r="K54" s="101"/>
      <c r="L54" s="101"/>
      <c r="M54" s="101"/>
      <c r="N54" s="102"/>
    </row>
    <row r="55" spans="2:14" x14ac:dyDescent="0.3">
      <c r="B55" s="88" t="s">
        <v>22</v>
      </c>
      <c r="C55" s="89"/>
      <c r="D55" s="89"/>
      <c r="E55" s="98" t="s">
        <v>76</v>
      </c>
      <c r="F55" s="98"/>
      <c r="G55">
        <v>0</v>
      </c>
      <c r="H55" t="str">
        <f>DEC2HEX(G55,4)</f>
        <v>0000</v>
      </c>
      <c r="N55" s="37"/>
    </row>
    <row r="56" spans="2:14" x14ac:dyDescent="0.3">
      <c r="B56" s="88" t="s">
        <v>78</v>
      </c>
      <c r="C56" s="89"/>
      <c r="D56" s="89"/>
      <c r="E56" s="86" t="s">
        <v>79</v>
      </c>
      <c r="F56" s="86"/>
      <c r="G56" s="40">
        <v>5</v>
      </c>
      <c r="H56" t="str">
        <f>DEC2HEX(G56,4)</f>
        <v>0005</v>
      </c>
      <c r="I56" s="48"/>
      <c r="J56" s="48"/>
      <c r="K56" s="48"/>
      <c r="L56" s="48"/>
      <c r="N56" s="37"/>
    </row>
    <row r="57" spans="2:14" x14ac:dyDescent="0.3">
      <c r="B57" s="88" t="s">
        <v>80</v>
      </c>
      <c r="C57" s="89"/>
      <c r="D57" s="89"/>
      <c r="E57" s="86" t="s">
        <v>114</v>
      </c>
      <c r="F57" s="86"/>
      <c r="G57" s="47">
        <v>4</v>
      </c>
      <c r="H57" t="str">
        <f>DEC2HEX(G57,2)</f>
        <v>04</v>
      </c>
      <c r="N57" s="37"/>
    </row>
    <row r="58" spans="2:14" x14ac:dyDescent="0.3">
      <c r="B58" s="88" t="s">
        <v>81</v>
      </c>
      <c r="C58" s="89"/>
      <c r="D58" s="89"/>
      <c r="E58" s="86" t="s">
        <v>82</v>
      </c>
      <c r="F58" s="86"/>
      <c r="G58" s="40">
        <v>5</v>
      </c>
      <c r="H58" t="str">
        <f>DEC2HEX(G58,4)</f>
        <v>0005</v>
      </c>
      <c r="N58" s="37"/>
    </row>
    <row r="59" spans="2:14" x14ac:dyDescent="0.3">
      <c r="B59" s="88" t="s">
        <v>83</v>
      </c>
      <c r="C59" s="89"/>
      <c r="D59" s="89"/>
      <c r="E59" s="86" t="s">
        <v>84</v>
      </c>
      <c r="F59" s="86"/>
      <c r="G59" s="40">
        <v>4</v>
      </c>
      <c r="H59" t="str">
        <f>DEC2HEX(G59,4)</f>
        <v>0004</v>
      </c>
      <c r="N59" s="37"/>
    </row>
    <row r="60" spans="2:14" x14ac:dyDescent="0.3">
      <c r="B60" s="88" t="s">
        <v>85</v>
      </c>
      <c r="C60" s="89"/>
      <c r="D60" s="89"/>
      <c r="E60" s="86" t="s">
        <v>86</v>
      </c>
      <c r="F60" s="86"/>
      <c r="G60" s="40">
        <v>3</v>
      </c>
      <c r="H60" t="str">
        <f>DEC2HEX(G60,4)</f>
        <v>0003</v>
      </c>
      <c r="N60" s="37"/>
    </row>
    <row r="61" spans="2:14" x14ac:dyDescent="0.3">
      <c r="B61" s="88" t="s">
        <v>87</v>
      </c>
      <c r="C61" s="89"/>
      <c r="D61" s="89"/>
      <c r="E61" s="86"/>
      <c r="F61" s="86"/>
      <c r="G61" s="40">
        <v>0</v>
      </c>
      <c r="H61" t="str">
        <f>DEC2HEX(G61,4)</f>
        <v>0000</v>
      </c>
      <c r="N61" s="37"/>
    </row>
    <row r="62" spans="2:14" x14ac:dyDescent="0.3">
      <c r="B62" s="88" t="s">
        <v>22</v>
      </c>
      <c r="C62" s="89"/>
      <c r="D62" s="89"/>
      <c r="E62" s="86" t="s">
        <v>88</v>
      </c>
      <c r="F62" s="86"/>
      <c r="G62">
        <v>1</v>
      </c>
      <c r="H62" t="str">
        <f>DEC2HEX(G62,2)</f>
        <v>01</v>
      </c>
      <c r="N62" s="37"/>
    </row>
    <row r="63" spans="2:14" ht="15" thickBot="1" x14ac:dyDescent="0.35">
      <c r="B63" s="90"/>
      <c r="C63" s="91"/>
      <c r="D63" s="91"/>
      <c r="E63" s="87"/>
      <c r="F63" s="87"/>
      <c r="G63" s="38"/>
      <c r="H63" s="38"/>
      <c r="I63" s="38"/>
      <c r="J63" s="38"/>
      <c r="K63" s="38"/>
      <c r="L63" s="38"/>
      <c r="M63" s="38"/>
      <c r="N63" s="39"/>
    </row>
  </sheetData>
  <mergeCells count="76">
    <mergeCell ref="B56:D56"/>
    <mergeCell ref="B57:D57"/>
    <mergeCell ref="E56:F56"/>
    <mergeCell ref="E57:F57"/>
    <mergeCell ref="B2:E2"/>
    <mergeCell ref="B3:F3"/>
    <mergeCell ref="B26:D26"/>
    <mergeCell ref="E26:G26"/>
    <mergeCell ref="B28:D28"/>
    <mergeCell ref="E28:F28"/>
    <mergeCell ref="B31:D31"/>
    <mergeCell ref="E31:F31"/>
    <mergeCell ref="B32:D32"/>
    <mergeCell ref="E32:F32"/>
    <mergeCell ref="B38:D38"/>
    <mergeCell ref="B33:D33"/>
    <mergeCell ref="I26:W26"/>
    <mergeCell ref="B25:W25"/>
    <mergeCell ref="U15:V20"/>
    <mergeCell ref="B27:D27"/>
    <mergeCell ref="E27:F27"/>
    <mergeCell ref="I27:W27"/>
    <mergeCell ref="I28:W29"/>
    <mergeCell ref="B29:D29"/>
    <mergeCell ref="E29:F29"/>
    <mergeCell ref="B30:D30"/>
    <mergeCell ref="E30:F30"/>
    <mergeCell ref="E33:F33"/>
    <mergeCell ref="B34:D34"/>
    <mergeCell ref="E34:F34"/>
    <mergeCell ref="B35:D35"/>
    <mergeCell ref="E35:F35"/>
    <mergeCell ref="E38:F38"/>
    <mergeCell ref="E37:F37"/>
    <mergeCell ref="E36:F36"/>
    <mergeCell ref="B36:D36"/>
    <mergeCell ref="B37:D37"/>
    <mergeCell ref="B45:D45"/>
    <mergeCell ref="E45:F45"/>
    <mergeCell ref="B46:D46"/>
    <mergeCell ref="E46:F46"/>
    <mergeCell ref="E44:F44"/>
    <mergeCell ref="B44:D44"/>
    <mergeCell ref="E43:F43"/>
    <mergeCell ref="E42:F42"/>
    <mergeCell ref="E41:F41"/>
    <mergeCell ref="E40:F40"/>
    <mergeCell ref="E39:F39"/>
    <mergeCell ref="B42:D42"/>
    <mergeCell ref="B43:D43"/>
    <mergeCell ref="B39:D39"/>
    <mergeCell ref="B40:D40"/>
    <mergeCell ref="B41:D41"/>
    <mergeCell ref="B52:D52"/>
    <mergeCell ref="B51:N51"/>
    <mergeCell ref="B53:D53"/>
    <mergeCell ref="B54:D54"/>
    <mergeCell ref="B55:D55"/>
    <mergeCell ref="E52:G52"/>
    <mergeCell ref="E53:F53"/>
    <mergeCell ref="E54:F54"/>
    <mergeCell ref="E55:F55"/>
    <mergeCell ref="I52:N52"/>
    <mergeCell ref="I53:N54"/>
    <mergeCell ref="B58:D58"/>
    <mergeCell ref="B59:D59"/>
    <mergeCell ref="B60:D60"/>
    <mergeCell ref="B62:D62"/>
    <mergeCell ref="B63:D63"/>
    <mergeCell ref="B61:D61"/>
    <mergeCell ref="E58:F58"/>
    <mergeCell ref="E59:F59"/>
    <mergeCell ref="E60:F60"/>
    <mergeCell ref="E62:F62"/>
    <mergeCell ref="E63:F63"/>
    <mergeCell ref="E61:F6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0BBDE-A128-EA43-9C9E-B12F94AE4B9D}">
  <dimension ref="A1:X63"/>
  <sheetViews>
    <sheetView topLeftCell="A26" workbookViewId="0">
      <selection activeCell="G32" sqref="G32"/>
    </sheetView>
  </sheetViews>
  <sheetFormatPr baseColWidth="10" defaultColWidth="10.77734375" defaultRowHeight="14.4" x14ac:dyDescent="0.3"/>
  <cols>
    <col min="1" max="1" width="15" customWidth="1"/>
    <col min="2" max="2" width="7.77734375" customWidth="1"/>
    <col min="3" max="3" width="7" customWidth="1"/>
    <col min="4" max="4" width="14.6640625" customWidth="1"/>
    <col min="5" max="5" width="13" style="1" customWidth="1"/>
    <col min="6" max="6" width="27" customWidth="1"/>
    <col min="7" max="7" width="9.6640625" customWidth="1"/>
    <col min="8" max="8" width="10.6640625" customWidth="1"/>
    <col min="9" max="13" width="7.77734375" customWidth="1"/>
    <col min="14" max="14" width="15" customWidth="1"/>
    <col min="15" max="15" width="15.6640625" customWidth="1"/>
    <col min="16" max="16" width="17.109375" customWidth="1"/>
    <col min="17" max="17" width="12.6640625" customWidth="1"/>
    <col min="18" max="18" width="14.44140625" customWidth="1"/>
    <col min="19" max="19" width="13.44140625" customWidth="1"/>
    <col min="20" max="20" width="13.109375" customWidth="1"/>
    <col min="21" max="21" width="7.77734375" customWidth="1"/>
    <col min="22" max="22" width="13.109375" customWidth="1"/>
    <col min="23" max="23" width="14.44140625" customWidth="1"/>
    <col min="24" max="24" width="13.6640625" customWidth="1"/>
  </cols>
  <sheetData>
    <row r="1" spans="1:24" ht="15" thickBot="1" x14ac:dyDescent="0.35"/>
    <row r="2" spans="1:24" ht="18.600000000000001" thickTop="1" x14ac:dyDescent="0.35">
      <c r="B2" s="81" t="s">
        <v>0</v>
      </c>
      <c r="C2" s="82"/>
      <c r="D2" s="82"/>
      <c r="E2" s="82"/>
      <c r="F2" s="29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9"/>
    </row>
    <row r="3" spans="1:24" ht="18" x14ac:dyDescent="0.35">
      <c r="A3" s="2"/>
      <c r="B3" s="83" t="s">
        <v>89</v>
      </c>
      <c r="C3" s="84"/>
      <c r="D3" s="84"/>
      <c r="E3" s="84"/>
      <c r="F3" s="85"/>
      <c r="X3" s="11"/>
    </row>
    <row r="4" spans="1:24" x14ac:dyDescent="0.3">
      <c r="A4" s="2"/>
      <c r="B4" s="42"/>
      <c r="X4" s="11"/>
    </row>
    <row r="5" spans="1:24" x14ac:dyDescent="0.3">
      <c r="B5" s="12" t="s">
        <v>2</v>
      </c>
      <c r="C5" s="13" t="s">
        <v>3</v>
      </c>
      <c r="D5" s="14" t="s">
        <v>4</v>
      </c>
      <c r="E5" s="15" t="s">
        <v>5</v>
      </c>
      <c r="X5" s="11"/>
    </row>
    <row r="6" spans="1:24" x14ac:dyDescent="0.3">
      <c r="A6" s="2"/>
      <c r="B6" s="16">
        <v>1</v>
      </c>
      <c r="C6" s="44">
        <v>6</v>
      </c>
      <c r="D6" s="1" t="str">
        <f t="shared" ref="D6:D14" si="0">MID($B$3,B6,C6)</f>
        <v>0000A0</v>
      </c>
      <c r="E6" s="5">
        <f t="shared" ref="E6:E14" si="1">HEX2DEC(D6)</f>
        <v>160</v>
      </c>
      <c r="F6" t="s">
        <v>6</v>
      </c>
      <c r="X6" s="11"/>
    </row>
    <row r="7" spans="1:24" x14ac:dyDescent="0.3">
      <c r="A7" s="2"/>
      <c r="B7" s="16">
        <f t="shared" ref="B7:B14" si="2">B6+C6</f>
        <v>7</v>
      </c>
      <c r="C7" s="44">
        <v>2</v>
      </c>
      <c r="D7" s="1" t="str">
        <f t="shared" si="0"/>
        <v>09</v>
      </c>
      <c r="E7" s="5">
        <f t="shared" si="1"/>
        <v>9</v>
      </c>
      <c r="F7" t="s">
        <v>90</v>
      </c>
      <c r="X7" s="11"/>
    </row>
    <row r="8" spans="1:24" x14ac:dyDescent="0.3">
      <c r="A8" s="2"/>
      <c r="B8" s="16">
        <f t="shared" si="2"/>
        <v>9</v>
      </c>
      <c r="C8" s="44">
        <v>2</v>
      </c>
      <c r="D8" s="1" t="str">
        <f t="shared" si="0"/>
        <v>0D</v>
      </c>
      <c r="E8" s="5">
        <f t="shared" si="1"/>
        <v>13</v>
      </c>
      <c r="F8" t="s">
        <v>8</v>
      </c>
      <c r="X8" s="11"/>
    </row>
    <row r="9" spans="1:24" x14ac:dyDescent="0.3">
      <c r="A9" s="2"/>
      <c r="B9" s="16">
        <f t="shared" si="2"/>
        <v>11</v>
      </c>
      <c r="C9" s="44">
        <v>2</v>
      </c>
      <c r="D9" s="1" t="str">
        <f t="shared" si="0"/>
        <v>01</v>
      </c>
      <c r="E9" s="5" t="str">
        <f>HEX2BIN(D9,8)</f>
        <v>00000001</v>
      </c>
      <c r="F9" t="s">
        <v>9</v>
      </c>
      <c r="X9" s="11"/>
    </row>
    <row r="10" spans="1:24" x14ac:dyDescent="0.3">
      <c r="A10" s="2"/>
      <c r="B10" s="16">
        <f t="shared" si="2"/>
        <v>13</v>
      </c>
      <c r="C10" s="44">
        <v>8</v>
      </c>
      <c r="D10" s="1" t="str">
        <f t="shared" si="0"/>
        <v>00000012</v>
      </c>
      <c r="E10" s="5">
        <f t="shared" si="1"/>
        <v>18</v>
      </c>
      <c r="F10" t="s">
        <v>59</v>
      </c>
      <c r="X10" s="11"/>
    </row>
    <row r="11" spans="1:24" x14ac:dyDescent="0.3">
      <c r="A11" s="2"/>
      <c r="B11" s="16">
        <f t="shared" si="2"/>
        <v>21</v>
      </c>
      <c r="C11" s="44">
        <v>8</v>
      </c>
      <c r="D11" s="1" t="str">
        <f t="shared" si="0"/>
        <v>0000001A</v>
      </c>
      <c r="E11" s="5">
        <f t="shared" si="1"/>
        <v>26</v>
      </c>
      <c r="F11" t="s">
        <v>60</v>
      </c>
      <c r="X11" s="11"/>
    </row>
    <row r="12" spans="1:24" x14ac:dyDescent="0.3">
      <c r="A12" s="2"/>
      <c r="B12" s="16">
        <f t="shared" si="2"/>
        <v>29</v>
      </c>
      <c r="C12" s="44">
        <v>8</v>
      </c>
      <c r="D12" s="1" t="str">
        <f t="shared" si="0"/>
        <v>00000018</v>
      </c>
      <c r="E12" s="5">
        <f t="shared" si="1"/>
        <v>24</v>
      </c>
      <c r="F12" t="s">
        <v>61</v>
      </c>
      <c r="X12" s="11"/>
    </row>
    <row r="13" spans="1:24" x14ac:dyDescent="0.3">
      <c r="A13" s="2"/>
      <c r="B13" s="16">
        <f t="shared" si="2"/>
        <v>37</v>
      </c>
      <c r="C13" s="44">
        <v>4</v>
      </c>
      <c r="D13" s="1" t="str">
        <f t="shared" si="0"/>
        <v>0000</v>
      </c>
      <c r="E13" s="5">
        <f t="shared" si="1"/>
        <v>0</v>
      </c>
      <c r="F13" t="s">
        <v>14</v>
      </c>
      <c r="G13" s="44" t="str">
        <f>HEX2BIN(MID(D13,1,2),8)</f>
        <v>00000000</v>
      </c>
      <c r="H13" s="44" t="str">
        <f>HEX2BIN(MID(D13,3,2),8)</f>
        <v>00000000</v>
      </c>
      <c r="I13" s="44">
        <f>IF((MID($G13,1,1)="0"),0,1)</f>
        <v>0</v>
      </c>
      <c r="J13" s="44">
        <f>IF((MID($G13,2,1)="0"),0,1)</f>
        <v>0</v>
      </c>
      <c r="K13" s="44">
        <f>IF((MID($G13,3,1)="0"),0,1)</f>
        <v>0</v>
      </c>
      <c r="L13" s="44">
        <f>IF((MID($G13,4,1)="0"),0,1)</f>
        <v>0</v>
      </c>
      <c r="M13" s="44">
        <f>IF((MID($G13,5,1)="0"),0,1)</f>
        <v>0</v>
      </c>
      <c r="N13" s="18" t="str">
        <f>IF((MID($G13,6,1)="0"),"OC Leak OK","OC Leak Alm")</f>
        <v>OC Leak OK</v>
      </c>
      <c r="O13" s="18" t="str">
        <f>IF((MID($G13,7,1)="0"),"Ch2 Leak OK","Ch2 Leak Alm")</f>
        <v>Ch2 Leak OK</v>
      </c>
      <c r="P13" s="18" t="str">
        <f>IF((MID($G13,8,1)="0"),"Ch1 Leak OK","Ch1 Leak Alm")</f>
        <v>Ch1 Leak OK</v>
      </c>
      <c r="Q13" s="44">
        <f>IF((MID($H13,1,1)="0"),0,1)</f>
        <v>0</v>
      </c>
      <c r="R13" s="19" t="str">
        <f>IF((MID($H13,2,1)="0"),"OC Lo Flow OK","OC Lo Flow Alm")</f>
        <v>OC Lo Flow OK</v>
      </c>
      <c r="S13" s="19" t="str">
        <f>IF((MID($H13,3,1)="0"),"Ch2 Lo Flow OK","Ch2 Lo Flow Alm")</f>
        <v>Ch2 Lo Flow OK</v>
      </c>
      <c r="T13" s="19" t="str">
        <f>IF((MID($H13,4,1)="0"),"Ch1 Lo Flow OK","Ch1 Lo Flow Alm")</f>
        <v>Ch1 Lo Flow OK</v>
      </c>
      <c r="U13" s="44">
        <f>IF((MID($H13,5,1)="0"),0,1)</f>
        <v>0</v>
      </c>
      <c r="V13" s="20" t="str">
        <f>IF((MID($H13,6,1)="0"),"OC Hi Flow OK","OC Hi Flow Alm")</f>
        <v>OC Hi Flow OK</v>
      </c>
      <c r="W13" s="20" t="str">
        <f>IF((MID($H13,7,1)="0"),"Ch2 Hi Flow OK","Ch2 Hi Flow Alm")</f>
        <v>Ch2 Hi Flow OK</v>
      </c>
      <c r="X13" s="30" t="str">
        <f>IF((MID($H13,8,1)="0"),"Ch1 Hi Flow OK","Ch1 Hi Flow Alm")</f>
        <v>Ch1 Hi Flow OK</v>
      </c>
    </row>
    <row r="14" spans="1:24" x14ac:dyDescent="0.3">
      <c r="A14" s="2"/>
      <c r="B14" s="16">
        <f t="shared" si="2"/>
        <v>41</v>
      </c>
      <c r="C14" s="44">
        <v>4</v>
      </c>
      <c r="D14" s="1" t="str">
        <f t="shared" si="0"/>
        <v>0000</v>
      </c>
      <c r="E14" s="5">
        <f t="shared" si="1"/>
        <v>0</v>
      </c>
      <c r="F14" s="21" t="s">
        <v>15</v>
      </c>
      <c r="G14" s="44" t="str">
        <f>HEX2BIN(MID(D14,1,2),8)</f>
        <v>00000000</v>
      </c>
      <c r="H14" s="44" t="str">
        <f>HEX2BIN(MID(D14,3,2),8)</f>
        <v>00000000</v>
      </c>
      <c r="I14" s="44">
        <f>IF((MID($G14,1,1)="0"),0,1)</f>
        <v>0</v>
      </c>
      <c r="J14" s="44">
        <f>IF((MID($G14,2,1)="0"),0,1)</f>
        <v>0</v>
      </c>
      <c r="K14" s="44">
        <f>IF((MID($G14,3,1)="0"),0,1)</f>
        <v>0</v>
      </c>
      <c r="L14" s="44">
        <f>IF((MID($G14,4,1)="0"),0,1)</f>
        <v>0</v>
      </c>
      <c r="M14" s="44">
        <f>IF((MID($G14,5,1)="0"),0,1)</f>
        <v>0</v>
      </c>
      <c r="N14" s="41" t="str">
        <f>IF((MID($G14,6,1)="0"),"OC debounce DIS","OC debounce EN")</f>
        <v>OC debounce DIS</v>
      </c>
      <c r="O14" s="41" t="str">
        <f>IF((MID($G14,7,1)="0"),"Ch2 debounce DIS","Ch2 debounce EN")</f>
        <v>Ch2 debounce DIS</v>
      </c>
      <c r="P14" s="41" t="str">
        <f>IF((MID($G14,8,1)="0"),"Ch1 debounce DIS","Ch1 debounce EN")</f>
        <v>Ch1 debounce DIS</v>
      </c>
      <c r="Q14" s="19" t="str">
        <f>IF((MID($H14,1,1)="0"),"OC Open","OC Closed")</f>
        <v>OC Open</v>
      </c>
      <c r="R14" s="19" t="str">
        <f>IF((MID($H14,2,1)="0"),"Ch2 Open","Ch2 Closed")</f>
        <v>Ch2 Open</v>
      </c>
      <c r="S14" s="19" t="str">
        <f>IF((MID($H14,3,1)="0"),"Ch1 Open","Ch1 Closed")</f>
        <v>Ch1 Open</v>
      </c>
      <c r="T14" s="19">
        <f>IF((MID($H14,4,1)="0"),0,1)</f>
        <v>0</v>
      </c>
      <c r="U14" s="3">
        <f>IF((MID($H14,5,1)="0"),0,1)</f>
        <v>0</v>
      </c>
      <c r="V14" s="4">
        <f>IF((MID($H14,6,1)="0"),0,1)</f>
        <v>0</v>
      </c>
      <c r="W14" s="20">
        <f>IF((MID($H14,7,1)="0"),0,1)</f>
        <v>0</v>
      </c>
      <c r="X14" s="30" t="str">
        <f>IF((MID($H14,8,1)="0"),"Normal","Alarm")</f>
        <v>Normal</v>
      </c>
    </row>
    <row r="15" spans="1:24" ht="15" customHeight="1" x14ac:dyDescent="0.3">
      <c r="A15" s="2"/>
      <c r="B15" s="16"/>
      <c r="C15" s="44"/>
      <c r="D15" s="1"/>
      <c r="E15" s="5"/>
      <c r="F15" s="31"/>
      <c r="G15" s="32"/>
      <c r="H15" s="33"/>
      <c r="U15" s="76" t="s">
        <v>16</v>
      </c>
      <c r="V15" s="77"/>
      <c r="W15" s="44"/>
      <c r="X15" s="36"/>
    </row>
    <row r="16" spans="1:24" x14ac:dyDescent="0.3">
      <c r="A16" s="2"/>
      <c r="B16" s="16"/>
      <c r="C16" s="44"/>
      <c r="D16" s="1"/>
      <c r="E16" s="17"/>
      <c r="U16" s="78"/>
      <c r="V16" s="77"/>
      <c r="W16" s="44"/>
      <c r="X16" s="36"/>
    </row>
    <row r="17" spans="2:24" x14ac:dyDescent="0.3">
      <c r="B17" s="22"/>
      <c r="E17" s="17"/>
      <c r="U17" s="78"/>
      <c r="V17" s="77"/>
      <c r="W17" s="44"/>
      <c r="X17" s="36"/>
    </row>
    <row r="18" spans="2:24" x14ac:dyDescent="0.3">
      <c r="B18" s="22"/>
      <c r="E18" s="17"/>
      <c r="U18" s="78"/>
      <c r="V18" s="77"/>
      <c r="W18" s="44"/>
      <c r="X18" s="36"/>
    </row>
    <row r="19" spans="2:24" x14ac:dyDescent="0.3">
      <c r="B19" s="22"/>
      <c r="E19" s="17"/>
      <c r="U19" s="78"/>
      <c r="V19" s="77"/>
      <c r="W19" s="44"/>
      <c r="X19" s="36"/>
    </row>
    <row r="20" spans="2:24" x14ac:dyDescent="0.3">
      <c r="B20" s="22"/>
      <c r="U20" s="79"/>
      <c r="V20" s="80"/>
      <c r="W20" s="44"/>
      <c r="X20" s="36"/>
    </row>
    <row r="21" spans="2:24" ht="15" thickBot="1" x14ac:dyDescent="0.35">
      <c r="B21" s="23"/>
      <c r="C21" s="24"/>
      <c r="D21" s="24"/>
      <c r="E21" s="25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6"/>
    </row>
    <row r="22" spans="2:24" ht="15" thickTop="1" x14ac:dyDescent="0.3"/>
    <row r="24" spans="2:24" ht="15" thickBot="1" x14ac:dyDescent="0.35"/>
    <row r="25" spans="2:24" ht="27" thickTop="1" thickBot="1" x14ac:dyDescent="0.55000000000000004">
      <c r="B25" s="73" t="s">
        <v>17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5"/>
    </row>
    <row r="26" spans="2:24" ht="45" customHeight="1" thickTop="1" x14ac:dyDescent="0.35">
      <c r="B26" s="71" t="s">
        <v>18</v>
      </c>
      <c r="C26" s="56"/>
      <c r="D26" s="56"/>
      <c r="E26" s="60" t="s">
        <v>19</v>
      </c>
      <c r="F26" s="61"/>
      <c r="G26" s="62"/>
      <c r="H26" s="45" t="s">
        <v>20</v>
      </c>
      <c r="I26" s="55" t="s">
        <v>21</v>
      </c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7"/>
      <c r="V26" s="57"/>
      <c r="W26" s="58"/>
    </row>
    <row r="27" spans="2:24" x14ac:dyDescent="0.3">
      <c r="B27" s="72"/>
      <c r="C27" s="50"/>
      <c r="D27" s="50"/>
      <c r="E27" s="51"/>
      <c r="F27" s="50"/>
      <c r="G27" s="43"/>
      <c r="H27" s="43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9"/>
    </row>
    <row r="28" spans="2:24" x14ac:dyDescent="0.3">
      <c r="B28" s="64" t="s">
        <v>22</v>
      </c>
      <c r="C28" s="50"/>
      <c r="D28" s="50"/>
      <c r="E28" s="52" t="s">
        <v>23</v>
      </c>
      <c r="F28" s="50"/>
      <c r="G28" s="44">
        <v>0</v>
      </c>
      <c r="H28" s="44" t="str">
        <f>DEC2HEX(G28,6)</f>
        <v>000000</v>
      </c>
      <c r="I28" s="53" t="str">
        <f>H28&amp;H29&amp;H30&amp;H31&amp;H32&amp;H33&amp;H34&amp;H35&amp;H36&amp;H37&amp;H38&amp;H39&amp;H40&amp;H41&amp;H42&amp;H43&amp;H44&amp;H45&amp;H46</f>
        <v>000000030000012C000000000064000A0001000F00C8001400020019012C001E0003002301</v>
      </c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4"/>
      <c r="U28" s="53"/>
      <c r="V28" s="53"/>
      <c r="W28" s="54"/>
    </row>
    <row r="29" spans="2:24" x14ac:dyDescent="0.3">
      <c r="B29" s="64" t="s">
        <v>24</v>
      </c>
      <c r="C29" s="50"/>
      <c r="D29" s="50"/>
      <c r="E29" s="52" t="s">
        <v>25</v>
      </c>
      <c r="F29" s="50"/>
      <c r="G29" s="44">
        <v>3</v>
      </c>
      <c r="H29" s="44" t="str">
        <f>DEC2HEX(G29,2)</f>
        <v>03</v>
      </c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3"/>
      <c r="V29" s="53"/>
      <c r="W29" s="54"/>
    </row>
    <row r="30" spans="2:24" x14ac:dyDescent="0.3">
      <c r="B30" s="64" t="s">
        <v>22</v>
      </c>
      <c r="C30" s="50"/>
      <c r="D30" s="50"/>
      <c r="E30" s="52" t="s">
        <v>23</v>
      </c>
      <c r="F30" s="50"/>
      <c r="G30" s="44">
        <v>0</v>
      </c>
      <c r="H30" s="44" t="str">
        <f>DEC2HEX(G30,4)</f>
        <v>0000</v>
      </c>
      <c r="W30" s="11"/>
    </row>
    <row r="31" spans="2:24" x14ac:dyDescent="0.3">
      <c r="B31" s="64" t="s">
        <v>26</v>
      </c>
      <c r="C31" s="50"/>
      <c r="D31" s="50"/>
      <c r="E31" s="52" t="s">
        <v>27</v>
      </c>
      <c r="F31" s="50"/>
      <c r="G31" s="27">
        <v>5</v>
      </c>
      <c r="H31" s="44" t="str">
        <f>DEC2HEX(G31*60,4)</f>
        <v>012C</v>
      </c>
      <c r="W31" s="11"/>
    </row>
    <row r="32" spans="2:24" x14ac:dyDescent="0.3">
      <c r="B32" s="64" t="s">
        <v>22</v>
      </c>
      <c r="C32" s="50"/>
      <c r="D32" s="50"/>
      <c r="E32" s="52" t="s">
        <v>28</v>
      </c>
      <c r="F32" s="50"/>
      <c r="G32" s="103">
        <v>0</v>
      </c>
      <c r="H32" s="44" t="str">
        <f t="shared" ref="H32" si="3">DEC2HEX(G32,4)</f>
        <v>0000</v>
      </c>
      <c r="W32" s="11"/>
    </row>
    <row r="33" spans="2:23" x14ac:dyDescent="0.3">
      <c r="B33" s="64" t="s">
        <v>22</v>
      </c>
      <c r="C33" s="50"/>
      <c r="D33" s="50"/>
      <c r="E33" s="52" t="s">
        <v>29</v>
      </c>
      <c r="F33" s="50"/>
      <c r="G33" s="103">
        <v>0</v>
      </c>
      <c r="H33" s="44" t="str">
        <f>DEC2HEX(G33*3600,4)</f>
        <v>0000</v>
      </c>
      <c r="W33" s="11"/>
    </row>
    <row r="34" spans="2:23" x14ac:dyDescent="0.3">
      <c r="B34" s="64" t="s">
        <v>30</v>
      </c>
      <c r="C34" s="50"/>
      <c r="D34" s="50"/>
      <c r="E34" s="52" t="s">
        <v>62</v>
      </c>
      <c r="F34" s="52"/>
      <c r="G34" s="35">
        <v>100</v>
      </c>
      <c r="H34" s="44" t="str">
        <f>DEC2HEX(G34,4)</f>
        <v>0064</v>
      </c>
      <c r="W34" s="11"/>
    </row>
    <row r="35" spans="2:23" x14ac:dyDescent="0.3">
      <c r="B35" s="64" t="s">
        <v>32</v>
      </c>
      <c r="C35" s="50"/>
      <c r="D35" s="50"/>
      <c r="E35" s="52" t="s">
        <v>63</v>
      </c>
      <c r="F35" s="52"/>
      <c r="G35" s="35">
        <v>10</v>
      </c>
      <c r="H35" s="44" t="str">
        <f>DEC2HEX(G35,4)</f>
        <v>000A</v>
      </c>
      <c r="W35" s="11"/>
    </row>
    <row r="36" spans="2:23" x14ac:dyDescent="0.3">
      <c r="B36" s="64" t="s">
        <v>34</v>
      </c>
      <c r="C36" s="50"/>
      <c r="D36" s="50"/>
      <c r="E36" s="52" t="s">
        <v>64</v>
      </c>
      <c r="F36" s="52"/>
      <c r="G36" s="35">
        <v>1</v>
      </c>
      <c r="H36" s="44" t="str">
        <f>DEC2HEX(G36,4)</f>
        <v>0001</v>
      </c>
      <c r="W36" s="11"/>
    </row>
    <row r="37" spans="2:23" x14ac:dyDescent="0.3">
      <c r="B37" s="65" t="s">
        <v>36</v>
      </c>
      <c r="C37" s="50"/>
      <c r="D37" s="50"/>
      <c r="E37" s="63" t="s">
        <v>65</v>
      </c>
      <c r="F37" s="52"/>
      <c r="G37" s="35">
        <v>15</v>
      </c>
      <c r="H37" s="44" t="str">
        <f>DEC2HEX(G37,4)</f>
        <v>000F</v>
      </c>
      <c r="W37" s="11"/>
    </row>
    <row r="38" spans="2:23" x14ac:dyDescent="0.3">
      <c r="B38" s="49" t="s">
        <v>38</v>
      </c>
      <c r="C38" s="50"/>
      <c r="D38" s="50"/>
      <c r="E38" s="52" t="s">
        <v>66</v>
      </c>
      <c r="F38" s="52"/>
      <c r="G38" s="35">
        <v>200</v>
      </c>
      <c r="H38" s="44" t="str">
        <f t="shared" ref="H38:H45" si="4">DEC2HEX(G38,4)</f>
        <v>00C8</v>
      </c>
      <c r="W38" s="11"/>
    </row>
    <row r="39" spans="2:23" x14ac:dyDescent="0.3">
      <c r="B39" s="49" t="s">
        <v>39</v>
      </c>
      <c r="C39" s="50"/>
      <c r="D39" s="50"/>
      <c r="E39" s="52" t="s">
        <v>67</v>
      </c>
      <c r="F39" s="52"/>
      <c r="G39" s="35">
        <v>20</v>
      </c>
      <c r="H39" s="44" t="str">
        <f t="shared" si="4"/>
        <v>0014</v>
      </c>
      <c r="W39" s="11"/>
    </row>
    <row r="40" spans="2:23" x14ac:dyDescent="0.3">
      <c r="B40" s="49" t="s">
        <v>40</v>
      </c>
      <c r="C40" s="50"/>
      <c r="D40" s="50"/>
      <c r="E40" s="52" t="s">
        <v>68</v>
      </c>
      <c r="F40" s="52"/>
      <c r="G40" s="35">
        <v>2</v>
      </c>
      <c r="H40" s="44" t="str">
        <f t="shared" si="4"/>
        <v>0002</v>
      </c>
      <c r="W40" s="11"/>
    </row>
    <row r="41" spans="2:23" x14ac:dyDescent="0.3">
      <c r="B41" s="49" t="s">
        <v>41</v>
      </c>
      <c r="C41" s="50"/>
      <c r="D41" s="50"/>
      <c r="E41" s="63" t="s">
        <v>69</v>
      </c>
      <c r="F41" s="52"/>
      <c r="G41" s="35">
        <v>25</v>
      </c>
      <c r="H41" s="44" t="str">
        <f t="shared" si="4"/>
        <v>0019</v>
      </c>
      <c r="W41" s="11"/>
    </row>
    <row r="42" spans="2:23" x14ac:dyDescent="0.3">
      <c r="B42" s="49" t="s">
        <v>42</v>
      </c>
      <c r="C42" s="50"/>
      <c r="D42" s="50"/>
      <c r="E42" s="52" t="s">
        <v>70</v>
      </c>
      <c r="F42" s="52"/>
      <c r="G42" s="35">
        <v>300</v>
      </c>
      <c r="H42" s="44" t="str">
        <f t="shared" si="4"/>
        <v>012C</v>
      </c>
      <c r="W42" s="11"/>
    </row>
    <row r="43" spans="2:23" x14ac:dyDescent="0.3">
      <c r="B43" s="49" t="s">
        <v>43</v>
      </c>
      <c r="C43" s="50"/>
      <c r="D43" s="50"/>
      <c r="E43" s="52" t="s">
        <v>71</v>
      </c>
      <c r="F43" s="52"/>
      <c r="G43" s="35">
        <v>30</v>
      </c>
      <c r="H43" s="44" t="str">
        <f t="shared" si="4"/>
        <v>001E</v>
      </c>
      <c r="W43" s="11"/>
    </row>
    <row r="44" spans="2:23" x14ac:dyDescent="0.3">
      <c r="B44" s="49" t="s">
        <v>44</v>
      </c>
      <c r="C44" s="50"/>
      <c r="D44" s="50"/>
      <c r="E44" s="52" t="s">
        <v>72</v>
      </c>
      <c r="F44" s="52"/>
      <c r="G44" s="35">
        <v>3</v>
      </c>
      <c r="H44" s="44" t="str">
        <f t="shared" si="4"/>
        <v>0003</v>
      </c>
      <c r="W44" s="11"/>
    </row>
    <row r="45" spans="2:23" x14ac:dyDescent="0.3">
      <c r="B45" s="49" t="s">
        <v>45</v>
      </c>
      <c r="C45" s="50"/>
      <c r="D45" s="50"/>
      <c r="E45" s="63" t="s">
        <v>73</v>
      </c>
      <c r="F45" s="52"/>
      <c r="G45" s="35">
        <v>35</v>
      </c>
      <c r="H45" s="44" t="str">
        <f t="shared" si="4"/>
        <v>0023</v>
      </c>
      <c r="W45" s="11"/>
    </row>
    <row r="46" spans="2:23" x14ac:dyDescent="0.3">
      <c r="B46" s="49" t="s">
        <v>22</v>
      </c>
      <c r="C46" s="50"/>
      <c r="D46" s="50"/>
      <c r="E46" s="52" t="s">
        <v>46</v>
      </c>
      <c r="F46" s="50"/>
      <c r="G46" s="44">
        <v>1</v>
      </c>
      <c r="H46" s="44" t="str">
        <f>DEC2HEX(G46,2)</f>
        <v>01</v>
      </c>
      <c r="W46" s="11"/>
    </row>
    <row r="47" spans="2:23" ht="15" thickBot="1" x14ac:dyDescent="0.35">
      <c r="B47" s="23"/>
      <c r="C47" s="24"/>
      <c r="D47" s="24"/>
      <c r="E47" s="25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6"/>
    </row>
    <row r="48" spans="2:23" ht="15" thickTop="1" x14ac:dyDescent="0.3"/>
    <row r="50" spans="2:14" ht="15" thickBot="1" x14ac:dyDescent="0.35"/>
    <row r="51" spans="2:14" ht="21.6" thickBot="1" x14ac:dyDescent="0.45">
      <c r="B51" s="94" t="s">
        <v>74</v>
      </c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6"/>
    </row>
    <row r="52" spans="2:14" ht="18.75" customHeight="1" x14ac:dyDescent="0.35">
      <c r="B52" s="92" t="s">
        <v>18</v>
      </c>
      <c r="C52" s="93"/>
      <c r="D52" s="93"/>
      <c r="E52" s="97" t="s">
        <v>19</v>
      </c>
      <c r="F52" s="97"/>
      <c r="G52" s="97"/>
      <c r="H52" s="46" t="s">
        <v>20</v>
      </c>
      <c r="I52" s="99" t="s">
        <v>75</v>
      </c>
      <c r="J52" s="99"/>
      <c r="K52" s="99"/>
      <c r="L52" s="99"/>
      <c r="M52" s="99"/>
      <c r="N52" s="100"/>
    </row>
    <row r="53" spans="2:14" ht="15" customHeight="1" x14ac:dyDescent="0.3">
      <c r="B53" s="88" t="s">
        <v>22</v>
      </c>
      <c r="C53" s="89"/>
      <c r="D53" s="89"/>
      <c r="E53" s="98" t="s">
        <v>76</v>
      </c>
      <c r="F53" s="98"/>
      <c r="G53">
        <v>0</v>
      </c>
      <c r="H53" t="str">
        <f>DEC2HEX(G53,6)</f>
        <v>000000</v>
      </c>
      <c r="I53" s="101" t="str">
        <f>H53&amp;H54&amp;H55&amp;H56&amp;H57&amp;H58&amp;H59&amp;H60&amp;H61&amp;H62</f>
        <v>000000160000000505000500040003000001</v>
      </c>
      <c r="J53" s="101"/>
      <c r="K53" s="101"/>
      <c r="L53" s="101"/>
      <c r="M53" s="101"/>
      <c r="N53" s="102"/>
    </row>
    <row r="54" spans="2:14" ht="15" customHeight="1" x14ac:dyDescent="0.3">
      <c r="B54" s="88" t="s">
        <v>77</v>
      </c>
      <c r="C54" s="89"/>
      <c r="D54" s="89"/>
      <c r="E54" s="86" t="s">
        <v>113</v>
      </c>
      <c r="F54" s="86"/>
      <c r="G54">
        <v>22</v>
      </c>
      <c r="H54" t="str">
        <f>DEC2HEX(G54,2)</f>
        <v>16</v>
      </c>
      <c r="I54" s="101"/>
      <c r="J54" s="101"/>
      <c r="K54" s="101"/>
      <c r="L54" s="101"/>
      <c r="M54" s="101"/>
      <c r="N54" s="102"/>
    </row>
    <row r="55" spans="2:14" x14ac:dyDescent="0.3">
      <c r="B55" s="88" t="s">
        <v>22</v>
      </c>
      <c r="C55" s="89"/>
      <c r="D55" s="89"/>
      <c r="E55" s="98" t="s">
        <v>76</v>
      </c>
      <c r="F55" s="98"/>
      <c r="G55">
        <v>0</v>
      </c>
      <c r="H55" t="str">
        <f>DEC2HEX(G55,4)</f>
        <v>0000</v>
      </c>
      <c r="N55" s="37"/>
    </row>
    <row r="56" spans="2:14" x14ac:dyDescent="0.3">
      <c r="B56" s="88" t="s">
        <v>78</v>
      </c>
      <c r="C56" s="89"/>
      <c r="D56" s="89"/>
      <c r="E56" s="86" t="s">
        <v>79</v>
      </c>
      <c r="F56" s="86"/>
      <c r="G56" s="40">
        <v>5</v>
      </c>
      <c r="H56" t="str">
        <f>DEC2HEX(G56,4)</f>
        <v>0005</v>
      </c>
      <c r="I56" s="48"/>
      <c r="N56" s="37"/>
    </row>
    <row r="57" spans="2:14" x14ac:dyDescent="0.3">
      <c r="B57" s="88" t="s">
        <v>80</v>
      </c>
      <c r="C57" s="89"/>
      <c r="D57" s="89"/>
      <c r="E57" s="86" t="s">
        <v>114</v>
      </c>
      <c r="F57" s="86"/>
      <c r="G57" s="47">
        <v>5</v>
      </c>
      <c r="H57" t="str">
        <f>DEC2HEX(G57,2)</f>
        <v>05</v>
      </c>
      <c r="N57" s="37"/>
    </row>
    <row r="58" spans="2:14" x14ac:dyDescent="0.3">
      <c r="B58" s="88" t="s">
        <v>81</v>
      </c>
      <c r="C58" s="89"/>
      <c r="D58" s="89"/>
      <c r="E58" s="86" t="s">
        <v>82</v>
      </c>
      <c r="F58" s="86"/>
      <c r="G58" s="40">
        <v>5</v>
      </c>
      <c r="H58" t="str">
        <f>DEC2HEX(G58,4)</f>
        <v>0005</v>
      </c>
      <c r="N58" s="37"/>
    </row>
    <row r="59" spans="2:14" x14ac:dyDescent="0.3">
      <c r="B59" s="88" t="s">
        <v>83</v>
      </c>
      <c r="C59" s="89"/>
      <c r="D59" s="89"/>
      <c r="E59" s="86" t="s">
        <v>84</v>
      </c>
      <c r="F59" s="86"/>
      <c r="G59" s="40">
        <v>4</v>
      </c>
      <c r="H59" t="str">
        <f>DEC2HEX(G59,4)</f>
        <v>0004</v>
      </c>
      <c r="N59" s="37"/>
    </row>
    <row r="60" spans="2:14" x14ac:dyDescent="0.3">
      <c r="B60" s="88" t="s">
        <v>85</v>
      </c>
      <c r="C60" s="89"/>
      <c r="D60" s="89"/>
      <c r="E60" s="86" t="s">
        <v>86</v>
      </c>
      <c r="F60" s="86"/>
      <c r="G60" s="40">
        <v>3</v>
      </c>
      <c r="H60" t="str">
        <f>DEC2HEX(G60,4)</f>
        <v>0003</v>
      </c>
      <c r="N60" s="37"/>
    </row>
    <row r="61" spans="2:14" x14ac:dyDescent="0.3">
      <c r="B61" s="88" t="s">
        <v>87</v>
      </c>
      <c r="C61" s="89"/>
      <c r="D61" s="89"/>
      <c r="E61" s="86"/>
      <c r="F61" s="86"/>
      <c r="G61" s="40">
        <v>0</v>
      </c>
      <c r="H61" t="str">
        <f>DEC2HEX(G61,4)</f>
        <v>0000</v>
      </c>
      <c r="N61" s="37"/>
    </row>
    <row r="62" spans="2:14" x14ac:dyDescent="0.3">
      <c r="B62" s="88" t="s">
        <v>22</v>
      </c>
      <c r="C62" s="89"/>
      <c r="D62" s="89"/>
      <c r="E62" s="86" t="s">
        <v>88</v>
      </c>
      <c r="F62" s="86"/>
      <c r="G62">
        <v>1</v>
      </c>
      <c r="H62" t="str">
        <f>DEC2HEX(G62,2)</f>
        <v>01</v>
      </c>
      <c r="N62" s="37"/>
    </row>
    <row r="63" spans="2:14" ht="15" thickBot="1" x14ac:dyDescent="0.35">
      <c r="B63" s="90"/>
      <c r="C63" s="91"/>
      <c r="D63" s="91"/>
      <c r="E63" s="87"/>
      <c r="F63" s="87"/>
      <c r="G63" s="38"/>
      <c r="H63" s="38"/>
      <c r="I63" s="38"/>
      <c r="J63" s="38"/>
      <c r="K63" s="38"/>
      <c r="L63" s="38"/>
      <c r="M63" s="38"/>
      <c r="N63" s="39"/>
    </row>
  </sheetData>
  <mergeCells count="76">
    <mergeCell ref="B63:D63"/>
    <mergeCell ref="E63:F63"/>
    <mergeCell ref="B61:D61"/>
    <mergeCell ref="E61:F61"/>
    <mergeCell ref="B58:D58"/>
    <mergeCell ref="E58:F58"/>
    <mergeCell ref="B59:D59"/>
    <mergeCell ref="E59:F59"/>
    <mergeCell ref="B60:D60"/>
    <mergeCell ref="E60:F60"/>
    <mergeCell ref="E62:F62"/>
    <mergeCell ref="B62:D62"/>
    <mergeCell ref="E55:F55"/>
    <mergeCell ref="B56:D56"/>
    <mergeCell ref="E56:F56"/>
    <mergeCell ref="B57:D57"/>
    <mergeCell ref="E57:F57"/>
    <mergeCell ref="B55:D55"/>
    <mergeCell ref="B2:E2"/>
    <mergeCell ref="B3:F3"/>
    <mergeCell ref="B26:D26"/>
    <mergeCell ref="E26:G26"/>
    <mergeCell ref="I26:W26"/>
    <mergeCell ref="U15:V20"/>
    <mergeCell ref="B25:W25"/>
    <mergeCell ref="B27:D27"/>
    <mergeCell ref="E27:F27"/>
    <mergeCell ref="I27:W27"/>
    <mergeCell ref="B28:D28"/>
    <mergeCell ref="E28:F28"/>
    <mergeCell ref="I28:W29"/>
    <mergeCell ref="B29:D29"/>
    <mergeCell ref="E29:F29"/>
    <mergeCell ref="E35:F35"/>
    <mergeCell ref="B30:D30"/>
    <mergeCell ref="E30:F30"/>
    <mergeCell ref="B31:D31"/>
    <mergeCell ref="E31:F31"/>
    <mergeCell ref="B32:D32"/>
    <mergeCell ref="E32:F32"/>
    <mergeCell ref="B33:D33"/>
    <mergeCell ref="E33:F33"/>
    <mergeCell ref="B34:D34"/>
    <mergeCell ref="E34:F34"/>
    <mergeCell ref="B35:D35"/>
    <mergeCell ref="B44:D44"/>
    <mergeCell ref="E44:F44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36:D36"/>
    <mergeCell ref="E36:F36"/>
    <mergeCell ref="B37:D37"/>
    <mergeCell ref="E37:F37"/>
    <mergeCell ref="B38:D38"/>
    <mergeCell ref="E38:F38"/>
    <mergeCell ref="B45:D45"/>
    <mergeCell ref="E45:F45"/>
    <mergeCell ref="B46:D46"/>
    <mergeCell ref="E46:F46"/>
    <mergeCell ref="B51:N51"/>
    <mergeCell ref="B52:D52"/>
    <mergeCell ref="E52:G52"/>
    <mergeCell ref="I52:N52"/>
    <mergeCell ref="B53:D53"/>
    <mergeCell ref="E53:F53"/>
    <mergeCell ref="I53:N54"/>
    <mergeCell ref="B54:D54"/>
    <mergeCell ref="E54:F5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C3645-67AF-7F4F-98AC-9AADD60B9F55}">
  <dimension ref="A1:X63"/>
  <sheetViews>
    <sheetView topLeftCell="A18" workbookViewId="0">
      <selection activeCell="G32" sqref="G32"/>
    </sheetView>
  </sheetViews>
  <sheetFormatPr baseColWidth="10" defaultColWidth="10.77734375" defaultRowHeight="14.4" x14ac:dyDescent="0.3"/>
  <cols>
    <col min="1" max="1" width="15" customWidth="1"/>
    <col min="2" max="2" width="7.77734375" customWidth="1"/>
    <col min="3" max="3" width="7" customWidth="1"/>
    <col min="4" max="4" width="16.44140625" customWidth="1"/>
    <col min="5" max="5" width="13" style="1" customWidth="1"/>
    <col min="6" max="6" width="26.44140625" customWidth="1"/>
    <col min="7" max="7" width="9.109375" customWidth="1"/>
    <col min="8" max="8" width="9.6640625" customWidth="1"/>
    <col min="9" max="13" width="7.77734375" customWidth="1"/>
    <col min="14" max="14" width="15.44140625" customWidth="1"/>
    <col min="15" max="15" width="16.44140625" customWidth="1"/>
    <col min="16" max="16" width="15.33203125" customWidth="1"/>
    <col min="17" max="17" width="13.6640625" customWidth="1"/>
    <col min="18" max="18" width="14.44140625" customWidth="1"/>
    <col min="19" max="19" width="13.77734375" customWidth="1"/>
    <col min="20" max="20" width="13.44140625" customWidth="1"/>
    <col min="21" max="21" width="7.77734375" customWidth="1"/>
    <col min="22" max="24" width="13.44140625" customWidth="1"/>
  </cols>
  <sheetData>
    <row r="1" spans="1:24" ht="15" thickBot="1" x14ac:dyDescent="0.35"/>
    <row r="2" spans="1:24" ht="18.600000000000001" thickTop="1" x14ac:dyDescent="0.35">
      <c r="B2" s="81" t="s">
        <v>0</v>
      </c>
      <c r="C2" s="82"/>
      <c r="D2" s="82"/>
      <c r="E2" s="82"/>
      <c r="F2" s="29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9"/>
    </row>
    <row r="3" spans="1:24" ht="18" x14ac:dyDescent="0.35">
      <c r="A3" s="2"/>
      <c r="B3" s="83" t="s">
        <v>91</v>
      </c>
      <c r="C3" s="84"/>
      <c r="D3" s="84"/>
      <c r="E3" s="84"/>
      <c r="F3" s="85"/>
      <c r="X3" s="11"/>
    </row>
    <row r="4" spans="1:24" x14ac:dyDescent="0.3">
      <c r="A4" s="2"/>
      <c r="B4" s="42"/>
      <c r="X4" s="11"/>
    </row>
    <row r="5" spans="1:24" x14ac:dyDescent="0.3">
      <c r="B5" s="12" t="s">
        <v>2</v>
      </c>
      <c r="C5" s="13" t="s">
        <v>3</v>
      </c>
      <c r="D5" s="14" t="s">
        <v>4</v>
      </c>
      <c r="E5" s="15" t="s">
        <v>5</v>
      </c>
      <c r="X5" s="11"/>
    </row>
    <row r="6" spans="1:24" x14ac:dyDescent="0.3">
      <c r="A6" s="2"/>
      <c r="B6" s="16">
        <v>1</v>
      </c>
      <c r="C6" s="44">
        <v>6</v>
      </c>
      <c r="D6" s="1" t="str">
        <f t="shared" ref="D6:D14" si="0">MID($B$3,B6,C6)</f>
        <v>0000AA</v>
      </c>
      <c r="E6" s="5">
        <f t="shared" ref="E6:E14" si="1">HEX2DEC(D6)</f>
        <v>170</v>
      </c>
      <c r="F6" t="s">
        <v>6</v>
      </c>
      <c r="X6" s="11"/>
    </row>
    <row r="7" spans="1:24" x14ac:dyDescent="0.3">
      <c r="A7" s="2"/>
      <c r="B7" s="16">
        <f t="shared" ref="B7:B14" si="2">B6+C6</f>
        <v>7</v>
      </c>
      <c r="C7" s="44">
        <v>2</v>
      </c>
      <c r="D7" s="1" t="str">
        <f t="shared" si="0"/>
        <v>0A</v>
      </c>
      <c r="E7" s="5">
        <f t="shared" si="1"/>
        <v>10</v>
      </c>
      <c r="F7" t="s">
        <v>92</v>
      </c>
      <c r="X7" s="11"/>
    </row>
    <row r="8" spans="1:24" x14ac:dyDescent="0.3">
      <c r="A8" s="2"/>
      <c r="B8" s="16">
        <f t="shared" si="2"/>
        <v>9</v>
      </c>
      <c r="C8" s="44">
        <v>2</v>
      </c>
      <c r="D8" s="1" t="str">
        <f t="shared" si="0"/>
        <v>0D</v>
      </c>
      <c r="E8" s="5">
        <f t="shared" si="1"/>
        <v>13</v>
      </c>
      <c r="F8" t="s">
        <v>8</v>
      </c>
      <c r="X8" s="11"/>
    </row>
    <row r="9" spans="1:24" x14ac:dyDescent="0.3">
      <c r="A9" s="2"/>
      <c r="B9" s="16">
        <f t="shared" si="2"/>
        <v>11</v>
      </c>
      <c r="C9" s="44">
        <v>2</v>
      </c>
      <c r="D9" s="1" t="str">
        <f t="shared" si="0"/>
        <v>01</v>
      </c>
      <c r="E9" s="5" t="str">
        <f>HEX2BIN(D9,8)</f>
        <v>00000001</v>
      </c>
      <c r="F9" t="s">
        <v>9</v>
      </c>
      <c r="X9" s="11"/>
    </row>
    <row r="10" spans="1:24" x14ac:dyDescent="0.3">
      <c r="A10" s="2"/>
      <c r="B10" s="16">
        <f t="shared" si="2"/>
        <v>13</v>
      </c>
      <c r="C10" s="44">
        <v>8</v>
      </c>
      <c r="D10" s="1" t="str">
        <f t="shared" si="0"/>
        <v>00000000</v>
      </c>
      <c r="E10" s="5">
        <f t="shared" si="1"/>
        <v>0</v>
      </c>
      <c r="F10" t="s">
        <v>59</v>
      </c>
      <c r="X10" s="11"/>
    </row>
    <row r="11" spans="1:24" x14ac:dyDescent="0.3">
      <c r="A11" s="2"/>
      <c r="B11" s="16">
        <f t="shared" si="2"/>
        <v>21</v>
      </c>
      <c r="C11" s="44">
        <v>8</v>
      </c>
      <c r="D11" s="1" t="str">
        <f t="shared" si="0"/>
        <v>00000000</v>
      </c>
      <c r="E11" s="5">
        <f t="shared" si="1"/>
        <v>0</v>
      </c>
      <c r="F11" t="s">
        <v>60</v>
      </c>
      <c r="X11" s="11"/>
    </row>
    <row r="12" spans="1:24" x14ac:dyDescent="0.3">
      <c r="A12" s="2"/>
      <c r="B12" s="16">
        <f t="shared" si="2"/>
        <v>29</v>
      </c>
      <c r="C12" s="44">
        <v>8</v>
      </c>
      <c r="D12" s="1" t="str">
        <f t="shared" si="0"/>
        <v>0000000A</v>
      </c>
      <c r="E12" s="5">
        <f t="shared" si="1"/>
        <v>10</v>
      </c>
      <c r="F12" t="s">
        <v>61</v>
      </c>
      <c r="X12" s="11"/>
    </row>
    <row r="13" spans="1:24" x14ac:dyDescent="0.3">
      <c r="A13" s="2"/>
      <c r="B13" s="16">
        <f t="shared" si="2"/>
        <v>37</v>
      </c>
      <c r="C13" s="44">
        <v>4</v>
      </c>
      <c r="D13" s="1" t="str">
        <f t="shared" si="0"/>
        <v>0000</v>
      </c>
      <c r="E13" s="5">
        <f t="shared" si="1"/>
        <v>0</v>
      </c>
      <c r="F13" t="s">
        <v>14</v>
      </c>
      <c r="G13" s="44" t="str">
        <f>HEX2BIN(MID(D13,1,2),8)</f>
        <v>00000000</v>
      </c>
      <c r="H13" s="44" t="str">
        <f>HEX2BIN(MID(D13,3,2),8)</f>
        <v>00000000</v>
      </c>
      <c r="I13" s="44">
        <f>IF((MID($G13,1,1)="0"),0,1)</f>
        <v>0</v>
      </c>
      <c r="J13" s="44">
        <f>IF((MID($G13,2,1)="0"),0,1)</f>
        <v>0</v>
      </c>
      <c r="K13" s="44">
        <f>IF((MID($G13,3,1)="0"),0,1)</f>
        <v>0</v>
      </c>
      <c r="L13" s="44">
        <f>IF((MID($G13,4,1)="0"),0,1)</f>
        <v>0</v>
      </c>
      <c r="M13" s="44">
        <f>IF((MID($G13,5,1)="0"),0,1)</f>
        <v>0</v>
      </c>
      <c r="N13" s="18" t="str">
        <f>IF((MID($G13,6,1)="0"),"OC Leak OK","OC Leak Alm")</f>
        <v>OC Leak OK</v>
      </c>
      <c r="O13" s="18" t="str">
        <f>IF((MID($G13,7,1)="0"),"Ch2 Leak OK","Ch2 Leak Alm")</f>
        <v>Ch2 Leak OK</v>
      </c>
      <c r="P13" s="18" t="str">
        <f>IF((MID($G13,8,1)="0"),"Ch1 Leak OK","Ch1 Leak Alm")</f>
        <v>Ch1 Leak OK</v>
      </c>
      <c r="Q13" s="44">
        <f>IF((MID($H13,1,1)="0"),0,1)</f>
        <v>0</v>
      </c>
      <c r="R13" s="19" t="str">
        <f>IF((MID($H13,2,1)="0"),"OC Lo Flow OK","OC Lo Flow Alm")</f>
        <v>OC Lo Flow OK</v>
      </c>
      <c r="S13" s="19" t="str">
        <f>IF((MID($H13,3,1)="0"),"Ch2 Lo Flow OK","Ch2 Lo Flow Alm")</f>
        <v>Ch2 Lo Flow OK</v>
      </c>
      <c r="T13" s="19" t="str">
        <f>IF((MID($H13,4,1)="0"),"Ch1 Lo Flow OK","Ch1 Lo Flow Alm")</f>
        <v>Ch1 Lo Flow OK</v>
      </c>
      <c r="U13" s="44">
        <f>IF((MID($H13,5,1)="0"),0,1)</f>
        <v>0</v>
      </c>
      <c r="V13" s="20" t="str">
        <f>IF((MID($H13,6,1)="0"),"OC Hi Flow OK","OC Hi Flow Alm")</f>
        <v>OC Hi Flow OK</v>
      </c>
      <c r="W13" s="20" t="str">
        <f>IF((MID($H13,7,1)="0"),"Ch2 Hi Flow OK","Ch2 Hi Flow Alm")</f>
        <v>Ch2 Hi Flow OK</v>
      </c>
      <c r="X13" s="30" t="str">
        <f>IF((MID($H13,8,1)="0"),"Ch1 Hi Flow OK","Ch1 Hi Flow Alm")</f>
        <v>Ch1 Hi Flow OK</v>
      </c>
    </row>
    <row r="14" spans="1:24" x14ac:dyDescent="0.3">
      <c r="A14" s="2"/>
      <c r="B14" s="16">
        <f t="shared" si="2"/>
        <v>41</v>
      </c>
      <c r="C14" s="44">
        <v>4</v>
      </c>
      <c r="D14" s="1" t="str">
        <f t="shared" si="0"/>
        <v>0060</v>
      </c>
      <c r="E14" s="5">
        <f t="shared" si="1"/>
        <v>96</v>
      </c>
      <c r="F14" s="21" t="s">
        <v>15</v>
      </c>
      <c r="G14" s="44" t="str">
        <f>HEX2BIN(MID(D14,1,2),8)</f>
        <v>00000000</v>
      </c>
      <c r="H14" s="44" t="str">
        <f>HEX2BIN(MID(D14,3,2),8)</f>
        <v>01100000</v>
      </c>
      <c r="I14" s="44">
        <f>IF((MID($G14,1,1)="0"),0,1)</f>
        <v>0</v>
      </c>
      <c r="J14" s="44">
        <f>IF((MID($G14,2,1)="0"),0,1)</f>
        <v>0</v>
      </c>
      <c r="K14" s="44">
        <f>IF((MID($G14,3,1)="0"),0,1)</f>
        <v>0</v>
      </c>
      <c r="L14" s="44">
        <f>IF((MID($G14,4,1)="0"),0,1)</f>
        <v>0</v>
      </c>
      <c r="M14" s="44">
        <f>IF((MID($G14,5,1)="0"),0,1)</f>
        <v>0</v>
      </c>
      <c r="N14" s="41" t="str">
        <f>IF((MID($G14,6,1)="0"),"OC debounce DIS","OC debounce EN")</f>
        <v>OC debounce DIS</v>
      </c>
      <c r="O14" s="41" t="str">
        <f>IF((MID($G14,7,1)="0"),"Ch2 debounce DIS","Ch2 debounce EN")</f>
        <v>Ch2 debounce DIS</v>
      </c>
      <c r="P14" s="41" t="str">
        <f>IF((MID($G14,8,1)="0"),"Ch1 debounce DIS","Ch1 debounce EN")</f>
        <v>Ch1 debounce DIS</v>
      </c>
      <c r="Q14" s="19" t="str">
        <f>IF((MID($H14,1,1)="0"),"OC Open","OC Closed")</f>
        <v>OC Open</v>
      </c>
      <c r="R14" s="19" t="str">
        <f>IF((MID($H14,2,1)="0"),"Ch2 Open","Ch2 Closed")</f>
        <v>Ch2 Closed</v>
      </c>
      <c r="S14" s="19" t="str">
        <f>IF((MID($H14,3,1)="0"),"Ch1 Open","Ch1 Closed")</f>
        <v>Ch1 Closed</v>
      </c>
      <c r="T14" s="19">
        <f>IF((MID($H14,4,1)="0"),0,1)</f>
        <v>0</v>
      </c>
      <c r="U14" s="3">
        <f>IF((MID($H14,5,1)="0"),0,1)</f>
        <v>0</v>
      </c>
      <c r="V14" s="4">
        <f>IF((MID($H14,6,1)="0"),0,1)</f>
        <v>0</v>
      </c>
      <c r="W14" s="20">
        <f>IF((MID($H14,7,1)="0"),0,1)</f>
        <v>0</v>
      </c>
      <c r="X14" s="30" t="str">
        <f>IF((MID($H14,8,1)="0"),"Normal","Alarm")</f>
        <v>Normal</v>
      </c>
    </row>
    <row r="15" spans="1:24" ht="15" customHeight="1" x14ac:dyDescent="0.3">
      <c r="A15" s="2"/>
      <c r="B15" s="16"/>
      <c r="C15" s="44"/>
      <c r="D15" s="1"/>
      <c r="E15" s="5"/>
      <c r="F15" s="31"/>
      <c r="G15" s="32"/>
      <c r="H15" s="33"/>
      <c r="U15" s="76" t="s">
        <v>16</v>
      </c>
      <c r="V15" s="77"/>
      <c r="W15" s="44"/>
      <c r="X15" s="36"/>
    </row>
    <row r="16" spans="1:24" x14ac:dyDescent="0.3">
      <c r="A16" s="2"/>
      <c r="B16" s="16"/>
      <c r="C16" s="44"/>
      <c r="D16" s="1"/>
      <c r="E16" s="17"/>
      <c r="U16" s="78"/>
      <c r="V16" s="77"/>
      <c r="W16" s="44"/>
      <c r="X16" s="36"/>
    </row>
    <row r="17" spans="2:24" x14ac:dyDescent="0.3">
      <c r="B17" s="22"/>
      <c r="E17" s="17"/>
      <c r="U17" s="78"/>
      <c r="V17" s="77"/>
      <c r="W17" s="44"/>
      <c r="X17" s="36"/>
    </row>
    <row r="18" spans="2:24" x14ac:dyDescent="0.3">
      <c r="B18" s="22"/>
      <c r="E18" s="17"/>
      <c r="U18" s="78"/>
      <c r="V18" s="77"/>
      <c r="W18" s="44"/>
      <c r="X18" s="36"/>
    </row>
    <row r="19" spans="2:24" x14ac:dyDescent="0.3">
      <c r="B19" s="22"/>
      <c r="E19" s="17"/>
      <c r="U19" s="78"/>
      <c r="V19" s="77"/>
      <c r="W19" s="44"/>
      <c r="X19" s="36"/>
    </row>
    <row r="20" spans="2:24" x14ac:dyDescent="0.3">
      <c r="B20" s="22"/>
      <c r="U20" s="79"/>
      <c r="V20" s="80"/>
      <c r="W20" s="44"/>
      <c r="X20" s="36"/>
    </row>
    <row r="21" spans="2:24" ht="15" thickBot="1" x14ac:dyDescent="0.35">
      <c r="B21" s="23"/>
      <c r="C21" s="24"/>
      <c r="D21" s="24"/>
      <c r="E21" s="25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6"/>
    </row>
    <row r="22" spans="2:24" ht="15" thickTop="1" x14ac:dyDescent="0.3"/>
    <row r="24" spans="2:24" ht="15" thickBot="1" x14ac:dyDescent="0.35"/>
    <row r="25" spans="2:24" ht="27" thickTop="1" thickBot="1" x14ac:dyDescent="0.55000000000000004">
      <c r="B25" s="73" t="s">
        <v>17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5"/>
    </row>
    <row r="26" spans="2:24" ht="38.25" customHeight="1" thickTop="1" x14ac:dyDescent="0.35">
      <c r="B26" s="71" t="s">
        <v>18</v>
      </c>
      <c r="C26" s="56"/>
      <c r="D26" s="56"/>
      <c r="E26" s="60" t="s">
        <v>19</v>
      </c>
      <c r="F26" s="61"/>
      <c r="G26" s="62"/>
      <c r="H26" s="45" t="s">
        <v>20</v>
      </c>
      <c r="I26" s="55" t="s">
        <v>21</v>
      </c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7"/>
      <c r="V26" s="57"/>
      <c r="W26" s="58"/>
    </row>
    <row r="27" spans="2:24" x14ac:dyDescent="0.3">
      <c r="B27" s="72"/>
      <c r="C27" s="50"/>
      <c r="D27" s="50"/>
      <c r="E27" s="51"/>
      <c r="F27" s="50"/>
      <c r="G27" s="43"/>
      <c r="H27" s="43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9"/>
    </row>
    <row r="28" spans="2:24" x14ac:dyDescent="0.3">
      <c r="B28" s="64" t="s">
        <v>22</v>
      </c>
      <c r="C28" s="50"/>
      <c r="D28" s="50"/>
      <c r="E28" s="52" t="s">
        <v>23</v>
      </c>
      <c r="F28" s="50"/>
      <c r="G28" s="44">
        <v>0</v>
      </c>
      <c r="H28" s="44" t="str">
        <f>DEC2HEX(G28,6)</f>
        <v>000000</v>
      </c>
      <c r="I28" s="53" t="str">
        <f>H28&amp;H29&amp;H30&amp;H31&amp;H32&amp;H33&amp;H34&amp;H35&amp;H36&amp;H37&amp;H38&amp;H39&amp;H40&amp;H41&amp;H42&amp;H43&amp;H44&amp;H45&amp;H46</f>
        <v>000000030000012C0000000000000000000000000000000000000000000000000000000001</v>
      </c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4"/>
      <c r="U28" s="53"/>
      <c r="V28" s="53"/>
      <c r="W28" s="54"/>
    </row>
    <row r="29" spans="2:24" x14ac:dyDescent="0.3">
      <c r="B29" s="64" t="s">
        <v>24</v>
      </c>
      <c r="C29" s="50"/>
      <c r="D29" s="50"/>
      <c r="E29" s="52" t="s">
        <v>25</v>
      </c>
      <c r="F29" s="50"/>
      <c r="G29" s="44">
        <v>3</v>
      </c>
      <c r="H29" s="44" t="str">
        <f>DEC2HEX(G29,2)</f>
        <v>03</v>
      </c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3"/>
      <c r="V29" s="53"/>
      <c r="W29" s="54"/>
    </row>
    <row r="30" spans="2:24" x14ac:dyDescent="0.3">
      <c r="B30" s="64" t="s">
        <v>22</v>
      </c>
      <c r="C30" s="50"/>
      <c r="D30" s="50"/>
      <c r="E30" s="52" t="s">
        <v>23</v>
      </c>
      <c r="F30" s="50"/>
      <c r="G30" s="44">
        <v>0</v>
      </c>
      <c r="H30" s="44" t="str">
        <f>DEC2HEX(G30,4)</f>
        <v>0000</v>
      </c>
      <c r="W30" s="11"/>
    </row>
    <row r="31" spans="2:24" x14ac:dyDescent="0.3">
      <c r="B31" s="64" t="s">
        <v>26</v>
      </c>
      <c r="C31" s="50"/>
      <c r="D31" s="50"/>
      <c r="E31" s="52" t="s">
        <v>27</v>
      </c>
      <c r="F31" s="50"/>
      <c r="G31" s="27">
        <v>5</v>
      </c>
      <c r="H31" s="44" t="str">
        <f>DEC2HEX(G31*60,4)</f>
        <v>012C</v>
      </c>
      <c r="W31" s="11"/>
    </row>
    <row r="32" spans="2:24" x14ac:dyDescent="0.3">
      <c r="B32" s="64" t="s">
        <v>22</v>
      </c>
      <c r="C32" s="50"/>
      <c r="D32" s="50"/>
      <c r="E32" s="52" t="s">
        <v>28</v>
      </c>
      <c r="F32" s="50"/>
      <c r="G32" s="103">
        <v>0</v>
      </c>
      <c r="H32" s="44" t="str">
        <f t="shared" ref="H32" si="3">DEC2HEX(G32,4)</f>
        <v>0000</v>
      </c>
      <c r="W32" s="11"/>
    </row>
    <row r="33" spans="2:23" x14ac:dyDescent="0.3">
      <c r="B33" s="64" t="s">
        <v>22</v>
      </c>
      <c r="C33" s="50"/>
      <c r="D33" s="50"/>
      <c r="E33" s="52" t="s">
        <v>29</v>
      </c>
      <c r="F33" s="50"/>
      <c r="G33" s="103">
        <v>0</v>
      </c>
      <c r="H33" s="44" t="str">
        <f>DEC2HEX(G33*3600,4)</f>
        <v>0000</v>
      </c>
      <c r="W33" s="11"/>
    </row>
    <row r="34" spans="2:23" x14ac:dyDescent="0.3">
      <c r="B34" s="64" t="s">
        <v>30</v>
      </c>
      <c r="C34" s="50"/>
      <c r="D34" s="50"/>
      <c r="E34" s="52" t="s">
        <v>23</v>
      </c>
      <c r="F34" s="50"/>
      <c r="G34" s="5">
        <v>0</v>
      </c>
      <c r="H34" s="44" t="str">
        <f>DEC2HEX(G34,4)</f>
        <v>0000</v>
      </c>
      <c r="W34" s="11"/>
    </row>
    <row r="35" spans="2:23" x14ac:dyDescent="0.3">
      <c r="B35" s="64" t="s">
        <v>32</v>
      </c>
      <c r="C35" s="50"/>
      <c r="D35" s="50"/>
      <c r="E35" s="52" t="s">
        <v>23</v>
      </c>
      <c r="F35" s="50"/>
      <c r="G35" s="5">
        <v>0</v>
      </c>
      <c r="H35" s="44" t="str">
        <f>DEC2HEX(G35,4)</f>
        <v>0000</v>
      </c>
      <c r="W35" s="11"/>
    </row>
    <row r="36" spans="2:23" x14ac:dyDescent="0.3">
      <c r="B36" s="64" t="s">
        <v>34</v>
      </c>
      <c r="C36" s="50"/>
      <c r="D36" s="50"/>
      <c r="E36" s="52" t="s">
        <v>23</v>
      </c>
      <c r="F36" s="50"/>
      <c r="G36" s="5">
        <v>0</v>
      </c>
      <c r="H36" s="44" t="str">
        <f>DEC2HEX(G36,4)</f>
        <v>0000</v>
      </c>
      <c r="W36" s="11"/>
    </row>
    <row r="37" spans="2:23" x14ac:dyDescent="0.3">
      <c r="B37" s="65" t="s">
        <v>36</v>
      </c>
      <c r="C37" s="50"/>
      <c r="D37" s="50"/>
      <c r="E37" s="52" t="s">
        <v>23</v>
      </c>
      <c r="F37" s="50"/>
      <c r="G37" s="5">
        <v>0</v>
      </c>
      <c r="H37" s="44" t="str">
        <f>DEC2HEX(G37,4)</f>
        <v>0000</v>
      </c>
      <c r="W37" s="11"/>
    </row>
    <row r="38" spans="2:23" x14ac:dyDescent="0.3">
      <c r="B38" s="49" t="s">
        <v>38</v>
      </c>
      <c r="C38" s="50"/>
      <c r="D38" s="50"/>
      <c r="E38" s="52" t="s">
        <v>23</v>
      </c>
      <c r="F38" s="50"/>
      <c r="G38" s="5">
        <v>0</v>
      </c>
      <c r="H38" s="44" t="str">
        <f t="shared" ref="H38:H45" si="4">DEC2HEX(G38,4)</f>
        <v>0000</v>
      </c>
      <c r="W38" s="11"/>
    </row>
    <row r="39" spans="2:23" x14ac:dyDescent="0.3">
      <c r="B39" s="49" t="s">
        <v>39</v>
      </c>
      <c r="C39" s="50"/>
      <c r="D39" s="50"/>
      <c r="E39" s="52" t="s">
        <v>23</v>
      </c>
      <c r="F39" s="50"/>
      <c r="G39" s="5">
        <v>0</v>
      </c>
      <c r="H39" s="44" t="str">
        <f t="shared" si="4"/>
        <v>0000</v>
      </c>
      <c r="W39" s="11"/>
    </row>
    <row r="40" spans="2:23" x14ac:dyDescent="0.3">
      <c r="B40" s="49" t="s">
        <v>40</v>
      </c>
      <c r="C40" s="50"/>
      <c r="D40" s="50"/>
      <c r="E40" s="52" t="s">
        <v>23</v>
      </c>
      <c r="F40" s="50"/>
      <c r="G40" s="5">
        <v>0</v>
      </c>
      <c r="H40" s="44" t="str">
        <f t="shared" si="4"/>
        <v>0000</v>
      </c>
      <c r="W40" s="11"/>
    </row>
    <row r="41" spans="2:23" x14ac:dyDescent="0.3">
      <c r="B41" s="49" t="s">
        <v>41</v>
      </c>
      <c r="C41" s="50"/>
      <c r="D41" s="50"/>
      <c r="E41" s="52" t="s">
        <v>23</v>
      </c>
      <c r="F41" s="50"/>
      <c r="G41" s="5">
        <v>0</v>
      </c>
      <c r="H41" s="44" t="str">
        <f t="shared" si="4"/>
        <v>0000</v>
      </c>
      <c r="W41" s="11"/>
    </row>
    <row r="42" spans="2:23" x14ac:dyDescent="0.3">
      <c r="B42" s="49" t="s">
        <v>42</v>
      </c>
      <c r="C42" s="50"/>
      <c r="D42" s="50"/>
      <c r="E42" s="52" t="s">
        <v>23</v>
      </c>
      <c r="F42" s="50"/>
      <c r="G42" s="5">
        <v>0</v>
      </c>
      <c r="H42" s="44" t="str">
        <f t="shared" si="4"/>
        <v>0000</v>
      </c>
      <c r="W42" s="11"/>
    </row>
    <row r="43" spans="2:23" x14ac:dyDescent="0.3">
      <c r="B43" s="49" t="s">
        <v>43</v>
      </c>
      <c r="C43" s="50"/>
      <c r="D43" s="50"/>
      <c r="E43" s="52" t="s">
        <v>23</v>
      </c>
      <c r="F43" s="50"/>
      <c r="G43" s="5">
        <v>0</v>
      </c>
      <c r="H43" s="44" t="str">
        <f t="shared" si="4"/>
        <v>0000</v>
      </c>
      <c r="W43" s="11"/>
    </row>
    <row r="44" spans="2:23" x14ac:dyDescent="0.3">
      <c r="B44" s="49" t="s">
        <v>44</v>
      </c>
      <c r="C44" s="50"/>
      <c r="D44" s="50"/>
      <c r="E44" s="52" t="s">
        <v>23</v>
      </c>
      <c r="F44" s="50"/>
      <c r="G44" s="5">
        <v>0</v>
      </c>
      <c r="H44" s="44" t="str">
        <f t="shared" si="4"/>
        <v>0000</v>
      </c>
      <c r="W44" s="11"/>
    </row>
    <row r="45" spans="2:23" x14ac:dyDescent="0.3">
      <c r="B45" s="49" t="s">
        <v>45</v>
      </c>
      <c r="C45" s="50"/>
      <c r="D45" s="50"/>
      <c r="E45" s="52" t="s">
        <v>23</v>
      </c>
      <c r="F45" s="50"/>
      <c r="G45" s="5">
        <v>0</v>
      </c>
      <c r="H45" s="44" t="str">
        <f t="shared" si="4"/>
        <v>0000</v>
      </c>
      <c r="W45" s="11"/>
    </row>
    <row r="46" spans="2:23" x14ac:dyDescent="0.3">
      <c r="B46" s="49" t="s">
        <v>22</v>
      </c>
      <c r="C46" s="50"/>
      <c r="D46" s="50"/>
      <c r="E46" s="52" t="s">
        <v>46</v>
      </c>
      <c r="F46" s="50"/>
      <c r="G46" s="44">
        <v>1</v>
      </c>
      <c r="H46" s="44" t="str">
        <f>DEC2HEX(G46,2)</f>
        <v>01</v>
      </c>
      <c r="W46" s="11"/>
    </row>
    <row r="47" spans="2:23" ht="15" thickBot="1" x14ac:dyDescent="0.35">
      <c r="B47" s="23"/>
      <c r="C47" s="24"/>
      <c r="D47" s="24"/>
      <c r="E47" s="25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6"/>
    </row>
    <row r="48" spans="2:23" ht="15" thickTop="1" x14ac:dyDescent="0.3"/>
    <row r="50" spans="2:14" ht="15" thickBot="1" x14ac:dyDescent="0.35"/>
    <row r="51" spans="2:14" ht="21.6" thickBot="1" x14ac:dyDescent="0.45">
      <c r="B51" s="94" t="s">
        <v>74</v>
      </c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6"/>
    </row>
    <row r="52" spans="2:14" ht="18.75" customHeight="1" x14ac:dyDescent="0.35">
      <c r="B52" s="92" t="s">
        <v>18</v>
      </c>
      <c r="C52" s="93"/>
      <c r="D52" s="93"/>
      <c r="E52" s="97" t="s">
        <v>19</v>
      </c>
      <c r="F52" s="97"/>
      <c r="G52" s="97"/>
      <c r="H52" s="46" t="s">
        <v>20</v>
      </c>
      <c r="I52" s="99" t="s">
        <v>75</v>
      </c>
      <c r="J52" s="99"/>
      <c r="K52" s="99"/>
      <c r="L52" s="99"/>
      <c r="M52" s="99"/>
      <c r="N52" s="100"/>
    </row>
    <row r="53" spans="2:14" ht="15" customHeight="1" x14ac:dyDescent="0.3">
      <c r="B53" s="88" t="s">
        <v>22</v>
      </c>
      <c r="C53" s="89"/>
      <c r="D53" s="89"/>
      <c r="E53" s="98" t="s">
        <v>76</v>
      </c>
      <c r="F53" s="98"/>
      <c r="G53">
        <v>0</v>
      </c>
      <c r="H53" t="str">
        <f>DEC2HEX(G53,6)</f>
        <v>000000</v>
      </c>
      <c r="I53" s="101" t="str">
        <f>H53&amp;H54&amp;H55&amp;H56&amp;H57&amp;H58&amp;H59&amp;H60&amp;H61&amp;H62</f>
        <v>000000160000000506000500040003000001</v>
      </c>
      <c r="J53" s="101"/>
      <c r="K53" s="101"/>
      <c r="L53" s="101"/>
      <c r="M53" s="101"/>
      <c r="N53" s="102"/>
    </row>
    <row r="54" spans="2:14" ht="15" customHeight="1" x14ac:dyDescent="0.3">
      <c r="B54" s="88" t="s">
        <v>77</v>
      </c>
      <c r="C54" s="89"/>
      <c r="D54" s="89"/>
      <c r="E54" s="86" t="s">
        <v>113</v>
      </c>
      <c r="F54" s="86"/>
      <c r="G54">
        <v>22</v>
      </c>
      <c r="H54" t="str">
        <f>DEC2HEX(G54,2)</f>
        <v>16</v>
      </c>
      <c r="I54" s="101"/>
      <c r="J54" s="101"/>
      <c r="K54" s="101"/>
      <c r="L54" s="101"/>
      <c r="M54" s="101"/>
      <c r="N54" s="102"/>
    </row>
    <row r="55" spans="2:14" x14ac:dyDescent="0.3">
      <c r="B55" s="88" t="s">
        <v>22</v>
      </c>
      <c r="C55" s="89"/>
      <c r="D55" s="89"/>
      <c r="E55" s="98" t="s">
        <v>76</v>
      </c>
      <c r="F55" s="98"/>
      <c r="G55">
        <v>0</v>
      </c>
      <c r="H55" t="str">
        <f>DEC2HEX(G55,4)</f>
        <v>0000</v>
      </c>
      <c r="N55" s="37"/>
    </row>
    <row r="56" spans="2:14" x14ac:dyDescent="0.3">
      <c r="B56" s="88" t="s">
        <v>78</v>
      </c>
      <c r="C56" s="89"/>
      <c r="D56" s="89"/>
      <c r="E56" s="86" t="s">
        <v>79</v>
      </c>
      <c r="F56" s="86"/>
      <c r="G56" s="40">
        <v>5</v>
      </c>
      <c r="H56" t="str">
        <f>DEC2HEX(G56,4)</f>
        <v>0005</v>
      </c>
      <c r="I56" s="48" t="s">
        <v>115</v>
      </c>
      <c r="N56" s="37"/>
    </row>
    <row r="57" spans="2:14" x14ac:dyDescent="0.3">
      <c r="B57" s="88" t="s">
        <v>80</v>
      </c>
      <c r="C57" s="89"/>
      <c r="D57" s="89"/>
      <c r="E57" s="86" t="s">
        <v>114</v>
      </c>
      <c r="F57" s="86"/>
      <c r="G57" s="47">
        <v>6</v>
      </c>
      <c r="H57" t="str">
        <f>DEC2HEX(G57,2)</f>
        <v>06</v>
      </c>
      <c r="N57" s="37"/>
    </row>
    <row r="58" spans="2:14" x14ac:dyDescent="0.3">
      <c r="B58" s="88" t="s">
        <v>81</v>
      </c>
      <c r="C58" s="89"/>
      <c r="D58" s="89"/>
      <c r="E58" s="86" t="s">
        <v>82</v>
      </c>
      <c r="F58" s="86"/>
      <c r="G58" s="40">
        <v>5</v>
      </c>
      <c r="H58" t="str">
        <f>DEC2HEX(G58,4)</f>
        <v>0005</v>
      </c>
      <c r="N58" s="37"/>
    </row>
    <row r="59" spans="2:14" x14ac:dyDescent="0.3">
      <c r="B59" s="88" t="s">
        <v>83</v>
      </c>
      <c r="C59" s="89"/>
      <c r="D59" s="89"/>
      <c r="E59" s="86" t="s">
        <v>84</v>
      </c>
      <c r="F59" s="86"/>
      <c r="G59" s="40">
        <v>4</v>
      </c>
      <c r="H59" t="str">
        <f>DEC2HEX(G59,4)</f>
        <v>0004</v>
      </c>
      <c r="N59" s="37"/>
    </row>
    <row r="60" spans="2:14" x14ac:dyDescent="0.3">
      <c r="B60" s="88" t="s">
        <v>85</v>
      </c>
      <c r="C60" s="89"/>
      <c r="D60" s="89"/>
      <c r="E60" s="86" t="s">
        <v>86</v>
      </c>
      <c r="F60" s="86"/>
      <c r="G60" s="40">
        <v>3</v>
      </c>
      <c r="H60" t="str">
        <f>DEC2HEX(G60,4)</f>
        <v>0003</v>
      </c>
      <c r="N60" s="37"/>
    </row>
    <row r="61" spans="2:14" x14ac:dyDescent="0.3">
      <c r="B61" s="88" t="s">
        <v>87</v>
      </c>
      <c r="C61" s="89"/>
      <c r="D61" s="89"/>
      <c r="E61" s="86"/>
      <c r="F61" s="86"/>
      <c r="G61" s="40">
        <v>0</v>
      </c>
      <c r="H61" t="str">
        <f>DEC2HEX(G61,4)</f>
        <v>0000</v>
      </c>
      <c r="N61" s="37"/>
    </row>
    <row r="62" spans="2:14" x14ac:dyDescent="0.3">
      <c r="B62" s="88" t="s">
        <v>22</v>
      </c>
      <c r="C62" s="89"/>
      <c r="D62" s="89"/>
      <c r="E62" s="86" t="s">
        <v>88</v>
      </c>
      <c r="F62" s="86"/>
      <c r="G62">
        <v>1</v>
      </c>
      <c r="H62" t="str">
        <f>DEC2HEX(G62,2)</f>
        <v>01</v>
      </c>
      <c r="N62" s="37"/>
    </row>
    <row r="63" spans="2:14" ht="15" thickBot="1" x14ac:dyDescent="0.35">
      <c r="B63" s="90"/>
      <c r="C63" s="91"/>
      <c r="D63" s="91"/>
      <c r="E63" s="87"/>
      <c r="F63" s="87"/>
      <c r="G63" s="38"/>
      <c r="H63" s="38"/>
      <c r="I63" s="38"/>
      <c r="J63" s="38"/>
      <c r="K63" s="38"/>
      <c r="L63" s="38"/>
      <c r="M63" s="38"/>
      <c r="N63" s="39"/>
    </row>
  </sheetData>
  <mergeCells count="76">
    <mergeCell ref="B63:D63"/>
    <mergeCell ref="E63:F63"/>
    <mergeCell ref="B61:D61"/>
    <mergeCell ref="E61:F61"/>
    <mergeCell ref="B62:D62"/>
    <mergeCell ref="E62:F62"/>
    <mergeCell ref="B58:D58"/>
    <mergeCell ref="E58:F58"/>
    <mergeCell ref="B59:D59"/>
    <mergeCell ref="E59:F59"/>
    <mergeCell ref="B60:D60"/>
    <mergeCell ref="E60:F60"/>
    <mergeCell ref="B55:D55"/>
    <mergeCell ref="E55:F55"/>
    <mergeCell ref="B56:D56"/>
    <mergeCell ref="E56:F56"/>
    <mergeCell ref="B57:D57"/>
    <mergeCell ref="E57:F57"/>
    <mergeCell ref="B51:N51"/>
    <mergeCell ref="B52:D52"/>
    <mergeCell ref="E52:G52"/>
    <mergeCell ref="I52:N52"/>
    <mergeCell ref="B53:D53"/>
    <mergeCell ref="E53:F53"/>
    <mergeCell ref="I53:N54"/>
    <mergeCell ref="B54:D54"/>
    <mergeCell ref="E54:F54"/>
    <mergeCell ref="B2:E2"/>
    <mergeCell ref="B3:F3"/>
    <mergeCell ref="B26:D26"/>
    <mergeCell ref="E26:G26"/>
    <mergeCell ref="I26:W26"/>
    <mergeCell ref="U15:V20"/>
    <mergeCell ref="B27:D27"/>
    <mergeCell ref="E27:F27"/>
    <mergeCell ref="I27:W27"/>
    <mergeCell ref="B28:D28"/>
    <mergeCell ref="E28:F28"/>
    <mergeCell ref="I28:W29"/>
    <mergeCell ref="B29:D29"/>
    <mergeCell ref="E29:F29"/>
    <mergeCell ref="B30:D30"/>
    <mergeCell ref="E30:F30"/>
    <mergeCell ref="B31:D31"/>
    <mergeCell ref="E31:F31"/>
    <mergeCell ref="B32:D32"/>
    <mergeCell ref="E32:F32"/>
    <mergeCell ref="B33:D33"/>
    <mergeCell ref="E33:F33"/>
    <mergeCell ref="B34:D34"/>
    <mergeCell ref="E34:F34"/>
    <mergeCell ref="B35:D35"/>
    <mergeCell ref="E35:F35"/>
    <mergeCell ref="E41:F41"/>
    <mergeCell ref="B36:D36"/>
    <mergeCell ref="E36:F36"/>
    <mergeCell ref="B37:D37"/>
    <mergeCell ref="E37:F37"/>
    <mergeCell ref="B38:D38"/>
    <mergeCell ref="E38:F38"/>
    <mergeCell ref="B45:D45"/>
    <mergeCell ref="E45:F45"/>
    <mergeCell ref="B46:D46"/>
    <mergeCell ref="E46:F46"/>
    <mergeCell ref="B25:W25"/>
    <mergeCell ref="B42:D42"/>
    <mergeCell ref="E42:F42"/>
    <mergeCell ref="B43:D43"/>
    <mergeCell ref="E43:F43"/>
    <mergeCell ref="B44:D44"/>
    <mergeCell ref="E44:F44"/>
    <mergeCell ref="B39:D39"/>
    <mergeCell ref="E39:F39"/>
    <mergeCell ref="B40:D40"/>
    <mergeCell ref="E40:F40"/>
    <mergeCell ref="B41:D4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38842-C79A-3D4A-87E5-76E50968EF7D}">
  <dimension ref="A1:X48"/>
  <sheetViews>
    <sheetView topLeftCell="A12" workbookViewId="0">
      <selection activeCell="G32" sqref="G32"/>
    </sheetView>
  </sheetViews>
  <sheetFormatPr baseColWidth="10" defaultColWidth="10.77734375" defaultRowHeight="14.4" x14ac:dyDescent="0.3"/>
  <cols>
    <col min="1" max="1" width="15" customWidth="1"/>
    <col min="2" max="2" width="7.77734375" customWidth="1"/>
    <col min="3" max="3" width="7" customWidth="1"/>
    <col min="4" max="4" width="16.33203125" customWidth="1"/>
    <col min="5" max="5" width="13" style="1" customWidth="1"/>
    <col min="6" max="6" width="26.33203125" customWidth="1"/>
    <col min="7" max="8" width="12.77734375" customWidth="1"/>
    <col min="9" max="16" width="7.77734375" customWidth="1"/>
    <col min="17" max="17" width="11.44140625" customWidth="1"/>
    <col min="18" max="19" width="12.77734375" customWidth="1"/>
    <col min="20" max="20" width="11.109375" customWidth="1"/>
    <col min="21" max="21" width="7.77734375" customWidth="1"/>
    <col min="22" max="22" width="16.44140625" customWidth="1"/>
    <col min="23" max="23" width="17.109375" customWidth="1"/>
    <col min="24" max="24" width="16.6640625" customWidth="1"/>
  </cols>
  <sheetData>
    <row r="1" spans="1:24" ht="15" thickBot="1" x14ac:dyDescent="0.35"/>
    <row r="2" spans="1:24" ht="18.600000000000001" thickTop="1" x14ac:dyDescent="0.35">
      <c r="B2" s="81" t="s">
        <v>0</v>
      </c>
      <c r="C2" s="82"/>
      <c r="D2" s="82"/>
      <c r="E2" s="82"/>
      <c r="F2" s="29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9"/>
    </row>
    <row r="3" spans="1:24" ht="18" x14ac:dyDescent="0.35">
      <c r="A3" s="2"/>
      <c r="B3" s="83" t="s">
        <v>93</v>
      </c>
      <c r="C3" s="84"/>
      <c r="D3" s="84"/>
      <c r="E3" s="84"/>
      <c r="F3" s="85"/>
      <c r="X3" s="11"/>
    </row>
    <row r="4" spans="1:24" x14ac:dyDescent="0.3">
      <c r="A4" s="2"/>
      <c r="B4" s="42"/>
      <c r="X4" s="11"/>
    </row>
    <row r="5" spans="1:24" x14ac:dyDescent="0.3">
      <c r="B5" s="12" t="s">
        <v>2</v>
      </c>
      <c r="C5" s="13" t="s">
        <v>3</v>
      </c>
      <c r="D5" s="14" t="s">
        <v>4</v>
      </c>
      <c r="E5" s="15" t="s">
        <v>5</v>
      </c>
      <c r="X5" s="11"/>
    </row>
    <row r="6" spans="1:24" x14ac:dyDescent="0.3">
      <c r="A6" s="2"/>
      <c r="B6" s="16">
        <v>1</v>
      </c>
      <c r="C6" s="44">
        <v>6</v>
      </c>
      <c r="D6" s="1" t="str">
        <f t="shared" ref="D6:D14" si="0">MID($B$3,B6,C6)</f>
        <v>0000B4</v>
      </c>
      <c r="E6" s="5">
        <f t="shared" ref="E6:E14" si="1">HEX2DEC(D6)</f>
        <v>180</v>
      </c>
      <c r="F6" t="s">
        <v>6</v>
      </c>
      <c r="X6" s="11"/>
    </row>
    <row r="7" spans="1:24" x14ac:dyDescent="0.3">
      <c r="A7" s="2"/>
      <c r="B7" s="16">
        <f t="shared" ref="B7:B14" si="2">B6+C6</f>
        <v>7</v>
      </c>
      <c r="C7" s="44">
        <v>2</v>
      </c>
      <c r="D7" s="1" t="str">
        <f t="shared" si="0"/>
        <v>0B</v>
      </c>
      <c r="E7" s="5">
        <f t="shared" si="1"/>
        <v>11</v>
      </c>
      <c r="F7" t="s">
        <v>94</v>
      </c>
      <c r="X7" s="11"/>
    </row>
    <row r="8" spans="1:24" x14ac:dyDescent="0.3">
      <c r="A8" s="2"/>
      <c r="B8" s="16">
        <f t="shared" si="2"/>
        <v>9</v>
      </c>
      <c r="C8" s="44">
        <v>2</v>
      </c>
      <c r="D8" s="1" t="str">
        <f t="shared" si="0"/>
        <v>0E</v>
      </c>
      <c r="E8" s="5">
        <f t="shared" si="1"/>
        <v>14</v>
      </c>
      <c r="F8" t="s">
        <v>8</v>
      </c>
      <c r="X8" s="11"/>
    </row>
    <row r="9" spans="1:24" x14ac:dyDescent="0.3">
      <c r="A9" s="2"/>
      <c r="B9" s="16">
        <f t="shared" si="2"/>
        <v>11</v>
      </c>
      <c r="C9" s="44">
        <v>2</v>
      </c>
      <c r="D9" s="1" t="str">
        <f t="shared" si="0"/>
        <v>01</v>
      </c>
      <c r="E9" s="5" t="str">
        <f>HEX2BIN(D9,8)</f>
        <v>00000001</v>
      </c>
      <c r="F9" t="s">
        <v>9</v>
      </c>
      <c r="X9" s="11"/>
    </row>
    <row r="10" spans="1:24" x14ac:dyDescent="0.3">
      <c r="A10" s="2"/>
      <c r="B10" s="16">
        <f t="shared" si="2"/>
        <v>13</v>
      </c>
      <c r="C10" s="44">
        <v>8</v>
      </c>
      <c r="D10" s="1" t="str">
        <f t="shared" si="0"/>
        <v>00000018</v>
      </c>
      <c r="E10" s="5">
        <f t="shared" si="1"/>
        <v>24</v>
      </c>
      <c r="F10" t="s">
        <v>59</v>
      </c>
      <c r="X10" s="11"/>
    </row>
    <row r="11" spans="1:24" x14ac:dyDescent="0.3">
      <c r="A11" s="2"/>
      <c r="B11" s="16">
        <f t="shared" si="2"/>
        <v>21</v>
      </c>
      <c r="C11" s="44">
        <v>8</v>
      </c>
      <c r="D11" s="1" t="str">
        <f t="shared" si="0"/>
        <v>00000028</v>
      </c>
      <c r="E11" s="5">
        <f t="shared" si="1"/>
        <v>40</v>
      </c>
      <c r="F11" t="s">
        <v>60</v>
      </c>
      <c r="X11" s="11"/>
    </row>
    <row r="12" spans="1:24" x14ac:dyDescent="0.3">
      <c r="A12" s="2"/>
      <c r="B12" s="16">
        <f t="shared" si="2"/>
        <v>29</v>
      </c>
      <c r="C12" s="44">
        <v>8</v>
      </c>
      <c r="D12" s="1" t="str">
        <f t="shared" si="0"/>
        <v>00000056</v>
      </c>
      <c r="E12" s="5">
        <f t="shared" si="1"/>
        <v>86</v>
      </c>
      <c r="F12" t="s">
        <v>61</v>
      </c>
      <c r="X12" s="11"/>
    </row>
    <row r="13" spans="1:24" x14ac:dyDescent="0.3">
      <c r="A13" s="2"/>
      <c r="B13" s="16">
        <f t="shared" si="2"/>
        <v>37</v>
      </c>
      <c r="C13" s="44">
        <v>4</v>
      </c>
      <c r="D13" s="1" t="str">
        <f t="shared" si="0"/>
        <v>0004</v>
      </c>
      <c r="E13" s="5">
        <f t="shared" si="1"/>
        <v>4</v>
      </c>
      <c r="F13" t="s">
        <v>14</v>
      </c>
      <c r="G13" s="44" t="str">
        <f>HEX2BIN(MID(D13,1,2),8)</f>
        <v>00000000</v>
      </c>
      <c r="H13" s="44" t="str">
        <f>HEX2BIN(MID(D13,3,2),8)</f>
        <v>00000100</v>
      </c>
      <c r="I13" s="44">
        <f>IF((MID($G13,1,1)="0"),0,1)</f>
        <v>0</v>
      </c>
      <c r="J13" s="44">
        <f>IF((MID($G13,2,1)="0"),0,1)</f>
        <v>0</v>
      </c>
      <c r="K13" s="44">
        <f>IF((MID($G13,3,1)="0"),0,1)</f>
        <v>0</v>
      </c>
      <c r="L13" s="44">
        <f>IF((MID($G13,4,1)="0"),0,1)</f>
        <v>0</v>
      </c>
      <c r="M13" s="44">
        <f>IF((MID($G13,5,1)="0"),0,1)</f>
        <v>0</v>
      </c>
      <c r="N13" s="44">
        <f>IF((MID($G13,6,1)="0"),0,1)</f>
        <v>0</v>
      </c>
      <c r="O13" s="44">
        <f>IF((MID($G13,7,1)="0"),0,1)</f>
        <v>0</v>
      </c>
      <c r="P13" s="44">
        <f>IF((MID($G13,8,1)="0"),0,1)</f>
        <v>0</v>
      </c>
      <c r="Q13" s="44">
        <f>IF((MID($H13,1,1)="0"),0,1)</f>
        <v>0</v>
      </c>
      <c r="R13" s="44">
        <f>IF((MID($H13,2,1)="0"),0,1)</f>
        <v>0</v>
      </c>
      <c r="S13" s="44">
        <f>IF((MID($H13,3,1)="0"),0,1)</f>
        <v>0</v>
      </c>
      <c r="T13" s="44">
        <f>IF((MID($H13,4,1)="0"),0,1)</f>
        <v>0</v>
      </c>
      <c r="U13" s="44">
        <f>IF((MID($H13,5,1)="0"),0,1)</f>
        <v>0</v>
      </c>
      <c r="V13" s="20" t="str">
        <f>IF((MID($H13,6,1)="0"),"OC No Change OK","OC No Change Alm")</f>
        <v>OC No Change Alm</v>
      </c>
      <c r="W13" s="20" t="str">
        <f>IF((MID($H13,7,1)="0"),"Ch2 No Change OK","Ch2 No Change Alm")</f>
        <v>Ch2 No Change OK</v>
      </c>
      <c r="X13" s="30" t="str">
        <f>IF((MID($H13,8,1)="0"),"Ch1 No Change OK","Ch1 No Change Alm")</f>
        <v>Ch1 No Change OK</v>
      </c>
    </row>
    <row r="14" spans="1:24" x14ac:dyDescent="0.3">
      <c r="A14" s="2"/>
      <c r="B14" s="16">
        <f t="shared" si="2"/>
        <v>41</v>
      </c>
      <c r="C14" s="44">
        <v>4</v>
      </c>
      <c r="D14" s="1" t="str">
        <f t="shared" si="0"/>
        <v>0001</v>
      </c>
      <c r="E14" s="5">
        <f t="shared" si="1"/>
        <v>1</v>
      </c>
      <c r="F14" s="21" t="s">
        <v>15</v>
      </c>
      <c r="G14" s="44" t="str">
        <f>HEX2BIN(MID(D14,1,2),8)</f>
        <v>00000000</v>
      </c>
      <c r="H14" s="44" t="str">
        <f>HEX2BIN(MID(D14,3,2),8)</f>
        <v>00000001</v>
      </c>
      <c r="I14" s="44">
        <f>IF((MID($G14,1,1)="0"),0,1)</f>
        <v>0</v>
      </c>
      <c r="J14" s="44">
        <f>IF((MID($G14,2,1)="0"),0,1)</f>
        <v>0</v>
      </c>
      <c r="K14" s="44">
        <f>IF((MID($G14,3,1)="0"),0,1)</f>
        <v>0</v>
      </c>
      <c r="L14" s="44">
        <f>IF((MID($G14,4,1)="0"),0,1)</f>
        <v>0</v>
      </c>
      <c r="M14" s="44">
        <f>IF((MID($G14,5,1)="0"),0,1)</f>
        <v>0</v>
      </c>
      <c r="N14" s="44">
        <f>IF((MID($G14,6,1)="0"),0,1)</f>
        <v>0</v>
      </c>
      <c r="O14" s="44">
        <f>IF((MID($G14,7,1)="0"),0,1)</f>
        <v>0</v>
      </c>
      <c r="P14" s="44">
        <f>IF((MID($G14,8,1)="0"),0,1)</f>
        <v>0</v>
      </c>
      <c r="Q14" s="19" t="str">
        <f>IF((MID($H14,1,1)="0"),"OC Open","OC Closed")</f>
        <v>OC Open</v>
      </c>
      <c r="R14" s="19" t="str">
        <f>IF((MID($H14,2,1)="0"),"Ch2 Open","Ch2 Closed")</f>
        <v>Ch2 Open</v>
      </c>
      <c r="S14" s="19" t="str">
        <f>IF((MID($H14,3,1)="0"),"Ch1 Open","Ch1 Closed")</f>
        <v>Ch1 Open</v>
      </c>
      <c r="T14" s="19">
        <f>IF((MID($H14,4,1)="0"),0,1)</f>
        <v>0</v>
      </c>
      <c r="U14" s="3">
        <f>IF((MID($H14,5,1)="0"),0,1)</f>
        <v>0</v>
      </c>
      <c r="V14" s="4">
        <f>IF((MID($H14,6,1)="0"),0,1)</f>
        <v>0</v>
      </c>
      <c r="W14" s="20">
        <f>IF((MID($H14,7,1)="0"),0,1)</f>
        <v>0</v>
      </c>
      <c r="X14" s="30" t="str">
        <f>IF((MID($H14,8,1)="0"),"Normal","Alarm")</f>
        <v>Alarm</v>
      </c>
    </row>
    <row r="15" spans="1:24" ht="15" customHeight="1" x14ac:dyDescent="0.3">
      <c r="A15" s="2"/>
      <c r="B15" s="16"/>
      <c r="C15" s="44"/>
      <c r="D15" s="1"/>
      <c r="E15" s="5"/>
      <c r="F15" s="31"/>
      <c r="G15" s="32"/>
      <c r="H15" s="33"/>
      <c r="U15" s="76" t="s">
        <v>16</v>
      </c>
      <c r="V15" s="77"/>
      <c r="W15" s="44"/>
      <c r="X15" s="36"/>
    </row>
    <row r="16" spans="1:24" x14ac:dyDescent="0.3">
      <c r="A16" s="2"/>
      <c r="B16" s="16"/>
      <c r="C16" s="44"/>
      <c r="D16" s="1"/>
      <c r="E16" s="17"/>
      <c r="U16" s="78"/>
      <c r="V16" s="77"/>
      <c r="W16" s="44"/>
      <c r="X16" s="36"/>
    </row>
    <row r="17" spans="2:24" x14ac:dyDescent="0.3">
      <c r="B17" s="22"/>
      <c r="E17" s="17"/>
      <c r="U17" s="78"/>
      <c r="V17" s="77"/>
      <c r="W17" s="44"/>
      <c r="X17" s="36"/>
    </row>
    <row r="18" spans="2:24" x14ac:dyDescent="0.3">
      <c r="B18" s="22"/>
      <c r="E18" s="17"/>
      <c r="U18" s="78"/>
      <c r="V18" s="77"/>
      <c r="W18" s="44"/>
      <c r="X18" s="36"/>
    </row>
    <row r="19" spans="2:24" x14ac:dyDescent="0.3">
      <c r="B19" s="22"/>
      <c r="E19" s="17"/>
      <c r="U19" s="78"/>
      <c r="V19" s="77"/>
      <c r="W19" s="44"/>
      <c r="X19" s="36"/>
    </row>
    <row r="20" spans="2:24" x14ac:dyDescent="0.3">
      <c r="B20" s="22"/>
      <c r="U20" s="79"/>
      <c r="V20" s="80"/>
      <c r="W20" s="44"/>
      <c r="X20" s="36"/>
    </row>
    <row r="21" spans="2:24" ht="15" thickBot="1" x14ac:dyDescent="0.35">
      <c r="B21" s="23"/>
      <c r="C21" s="24"/>
      <c r="D21" s="24"/>
      <c r="E21" s="25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6"/>
    </row>
    <row r="22" spans="2:24" ht="15" thickTop="1" x14ac:dyDescent="0.3"/>
    <row r="24" spans="2:24" ht="15" thickBot="1" x14ac:dyDescent="0.35"/>
    <row r="25" spans="2:24" ht="27" thickTop="1" thickBot="1" x14ac:dyDescent="0.55000000000000004">
      <c r="B25" s="73" t="s">
        <v>17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5"/>
    </row>
    <row r="26" spans="2:24" ht="40.049999999999997" customHeight="1" thickTop="1" x14ac:dyDescent="0.35">
      <c r="B26" s="71" t="s">
        <v>18</v>
      </c>
      <c r="C26" s="56"/>
      <c r="D26" s="56"/>
      <c r="E26" s="60" t="s">
        <v>19</v>
      </c>
      <c r="F26" s="61"/>
      <c r="G26" s="62"/>
      <c r="H26" s="45" t="s">
        <v>20</v>
      </c>
      <c r="I26" s="55" t="s">
        <v>21</v>
      </c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7"/>
      <c r="V26" s="57"/>
      <c r="W26" s="58"/>
    </row>
    <row r="27" spans="2:24" x14ac:dyDescent="0.3">
      <c r="B27" s="72"/>
      <c r="C27" s="50"/>
      <c r="D27" s="50"/>
      <c r="E27" s="51"/>
      <c r="F27" s="50"/>
      <c r="G27" s="43"/>
      <c r="H27" s="43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9"/>
    </row>
    <row r="28" spans="2:24" x14ac:dyDescent="0.3">
      <c r="B28" s="64" t="s">
        <v>22</v>
      </c>
      <c r="C28" s="50"/>
      <c r="D28" s="50"/>
      <c r="E28" s="52" t="s">
        <v>23</v>
      </c>
      <c r="F28" s="50"/>
      <c r="G28" s="44">
        <v>0</v>
      </c>
      <c r="H28" s="44" t="str">
        <f>DEC2HEX(G28,6)</f>
        <v>000000</v>
      </c>
      <c r="I28" s="53" t="str">
        <f>H28&amp;H29&amp;H30&amp;H31&amp;H32&amp;H33&amp;H34&amp;H35&amp;H36&amp;H37&amp;H38&amp;H39&amp;H40&amp;H41&amp;H42&amp;H43&amp;H44&amp;H45&amp;H46</f>
        <v>000000030000012C000000000005000A000000000000000000000000000000000000000001</v>
      </c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4"/>
      <c r="U28" s="53"/>
      <c r="V28" s="53"/>
      <c r="W28" s="54"/>
    </row>
    <row r="29" spans="2:24" x14ac:dyDescent="0.3">
      <c r="B29" s="64" t="s">
        <v>24</v>
      </c>
      <c r="C29" s="50"/>
      <c r="D29" s="50"/>
      <c r="E29" s="52" t="s">
        <v>25</v>
      </c>
      <c r="F29" s="50"/>
      <c r="G29" s="44">
        <v>3</v>
      </c>
      <c r="H29" s="44" t="str">
        <f>DEC2HEX(G29,2)</f>
        <v>03</v>
      </c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3"/>
      <c r="V29" s="53"/>
      <c r="W29" s="54"/>
    </row>
    <row r="30" spans="2:24" x14ac:dyDescent="0.3">
      <c r="B30" s="64" t="s">
        <v>22</v>
      </c>
      <c r="C30" s="50"/>
      <c r="D30" s="50"/>
      <c r="E30" s="52" t="s">
        <v>23</v>
      </c>
      <c r="F30" s="50"/>
      <c r="G30" s="44">
        <v>0</v>
      </c>
      <c r="H30" s="44" t="str">
        <f>DEC2HEX(G30,4)</f>
        <v>0000</v>
      </c>
      <c r="W30" s="11"/>
    </row>
    <row r="31" spans="2:24" x14ac:dyDescent="0.3">
      <c r="B31" s="64" t="s">
        <v>26</v>
      </c>
      <c r="C31" s="50"/>
      <c r="D31" s="50"/>
      <c r="E31" s="52" t="s">
        <v>27</v>
      </c>
      <c r="F31" s="50"/>
      <c r="G31" s="27">
        <v>5</v>
      </c>
      <c r="H31" s="44" t="str">
        <f>DEC2HEX(G31*60,4)</f>
        <v>012C</v>
      </c>
      <c r="W31" s="11"/>
    </row>
    <row r="32" spans="2:24" x14ac:dyDescent="0.3">
      <c r="B32" s="64" t="s">
        <v>22</v>
      </c>
      <c r="C32" s="50"/>
      <c r="D32" s="50"/>
      <c r="E32" s="52" t="s">
        <v>28</v>
      </c>
      <c r="F32" s="50"/>
      <c r="G32" s="103">
        <v>0</v>
      </c>
      <c r="H32" s="44" t="str">
        <f t="shared" ref="H32" si="3">DEC2HEX(G32,4)</f>
        <v>0000</v>
      </c>
      <c r="W32" s="11"/>
    </row>
    <row r="33" spans="2:23" x14ac:dyDescent="0.3">
      <c r="B33" s="64" t="s">
        <v>22</v>
      </c>
      <c r="C33" s="50"/>
      <c r="D33" s="50"/>
      <c r="E33" s="52" t="s">
        <v>29</v>
      </c>
      <c r="F33" s="50"/>
      <c r="G33" s="103">
        <v>0</v>
      </c>
      <c r="H33" s="44" t="str">
        <f>DEC2HEX(G33*3600,4)</f>
        <v>0000</v>
      </c>
      <c r="W33" s="11"/>
    </row>
    <row r="34" spans="2:23" x14ac:dyDescent="0.3">
      <c r="B34" s="64" t="s">
        <v>30</v>
      </c>
      <c r="C34" s="50"/>
      <c r="D34" s="50"/>
      <c r="E34" s="52" t="s">
        <v>95</v>
      </c>
      <c r="F34" s="52"/>
      <c r="G34" s="35">
        <v>5</v>
      </c>
      <c r="H34" s="44" t="str">
        <f>DEC2HEX(G34,4)</f>
        <v>0005</v>
      </c>
      <c r="W34" s="11"/>
    </row>
    <row r="35" spans="2:23" x14ac:dyDescent="0.3">
      <c r="B35" s="64" t="s">
        <v>32</v>
      </c>
      <c r="C35" s="50"/>
      <c r="D35" s="50"/>
      <c r="E35" s="52" t="s">
        <v>96</v>
      </c>
      <c r="F35" s="52"/>
      <c r="G35" s="35">
        <v>10</v>
      </c>
      <c r="H35" s="44" t="str">
        <f>DEC2HEX(G35,4)</f>
        <v>000A</v>
      </c>
      <c r="W35" s="11"/>
    </row>
    <row r="36" spans="2:23" x14ac:dyDescent="0.3">
      <c r="B36" s="64" t="s">
        <v>34</v>
      </c>
      <c r="C36" s="50"/>
      <c r="D36" s="50"/>
      <c r="E36" s="52" t="s">
        <v>23</v>
      </c>
      <c r="F36" s="50"/>
      <c r="G36" s="5">
        <v>0</v>
      </c>
      <c r="H36" s="44" t="str">
        <f>DEC2HEX(G36,4)</f>
        <v>0000</v>
      </c>
      <c r="W36" s="11"/>
    </row>
    <row r="37" spans="2:23" x14ac:dyDescent="0.3">
      <c r="B37" s="65" t="s">
        <v>36</v>
      </c>
      <c r="C37" s="50"/>
      <c r="D37" s="50"/>
      <c r="E37" s="52" t="s">
        <v>23</v>
      </c>
      <c r="F37" s="50"/>
      <c r="G37" s="5">
        <v>0</v>
      </c>
      <c r="H37" s="44" t="str">
        <f>DEC2HEX(G37,4)</f>
        <v>0000</v>
      </c>
      <c r="W37" s="11"/>
    </row>
    <row r="38" spans="2:23" x14ac:dyDescent="0.3">
      <c r="B38" s="49" t="s">
        <v>38</v>
      </c>
      <c r="C38" s="50"/>
      <c r="D38" s="50"/>
      <c r="E38" s="52" t="s">
        <v>23</v>
      </c>
      <c r="F38" s="50"/>
      <c r="G38" s="5">
        <v>0</v>
      </c>
      <c r="H38" s="44" t="str">
        <f t="shared" ref="H38:H45" si="4">DEC2HEX(G38,4)</f>
        <v>0000</v>
      </c>
      <c r="W38" s="11"/>
    </row>
    <row r="39" spans="2:23" x14ac:dyDescent="0.3">
      <c r="B39" s="49" t="s">
        <v>39</v>
      </c>
      <c r="C39" s="50"/>
      <c r="D39" s="50"/>
      <c r="E39" s="52" t="s">
        <v>23</v>
      </c>
      <c r="F39" s="50"/>
      <c r="G39" s="5">
        <v>0</v>
      </c>
      <c r="H39" s="44" t="str">
        <f t="shared" si="4"/>
        <v>0000</v>
      </c>
      <c r="W39" s="11"/>
    </row>
    <row r="40" spans="2:23" x14ac:dyDescent="0.3">
      <c r="B40" s="49" t="s">
        <v>40</v>
      </c>
      <c r="C40" s="50"/>
      <c r="D40" s="50"/>
      <c r="E40" s="52" t="s">
        <v>23</v>
      </c>
      <c r="F40" s="50"/>
      <c r="G40" s="5">
        <v>0</v>
      </c>
      <c r="H40" s="44" t="str">
        <f t="shared" si="4"/>
        <v>0000</v>
      </c>
      <c r="W40" s="11"/>
    </row>
    <row r="41" spans="2:23" x14ac:dyDescent="0.3">
      <c r="B41" s="49" t="s">
        <v>41</v>
      </c>
      <c r="C41" s="50"/>
      <c r="D41" s="50"/>
      <c r="E41" s="52" t="s">
        <v>23</v>
      </c>
      <c r="F41" s="50"/>
      <c r="G41" s="5">
        <v>0</v>
      </c>
      <c r="H41" s="44" t="str">
        <f t="shared" si="4"/>
        <v>0000</v>
      </c>
      <c r="W41" s="11"/>
    </row>
    <row r="42" spans="2:23" x14ac:dyDescent="0.3">
      <c r="B42" s="49" t="s">
        <v>42</v>
      </c>
      <c r="C42" s="50"/>
      <c r="D42" s="50"/>
      <c r="E42" s="52" t="s">
        <v>23</v>
      </c>
      <c r="F42" s="50"/>
      <c r="G42" s="5">
        <v>0</v>
      </c>
      <c r="H42" s="44" t="str">
        <f t="shared" si="4"/>
        <v>0000</v>
      </c>
      <c r="W42" s="11"/>
    </row>
    <row r="43" spans="2:23" x14ac:dyDescent="0.3">
      <c r="B43" s="49" t="s">
        <v>43</v>
      </c>
      <c r="C43" s="50"/>
      <c r="D43" s="50"/>
      <c r="E43" s="52" t="s">
        <v>23</v>
      </c>
      <c r="F43" s="50"/>
      <c r="G43" s="5">
        <v>0</v>
      </c>
      <c r="H43" s="44" t="str">
        <f t="shared" si="4"/>
        <v>0000</v>
      </c>
      <c r="W43" s="11"/>
    </row>
    <row r="44" spans="2:23" x14ac:dyDescent="0.3">
      <c r="B44" s="49" t="s">
        <v>44</v>
      </c>
      <c r="C44" s="50"/>
      <c r="D44" s="50"/>
      <c r="E44" s="52" t="s">
        <v>23</v>
      </c>
      <c r="F44" s="50"/>
      <c r="G44" s="5">
        <v>0</v>
      </c>
      <c r="H44" s="44" t="str">
        <f t="shared" si="4"/>
        <v>0000</v>
      </c>
      <c r="W44" s="11"/>
    </row>
    <row r="45" spans="2:23" x14ac:dyDescent="0.3">
      <c r="B45" s="49" t="s">
        <v>45</v>
      </c>
      <c r="C45" s="50"/>
      <c r="D45" s="50"/>
      <c r="E45" s="52" t="s">
        <v>23</v>
      </c>
      <c r="F45" s="50"/>
      <c r="G45" s="5">
        <v>0</v>
      </c>
      <c r="H45" s="44" t="str">
        <f t="shared" si="4"/>
        <v>0000</v>
      </c>
      <c r="W45" s="11"/>
    </row>
    <row r="46" spans="2:23" x14ac:dyDescent="0.3">
      <c r="B46" s="49" t="s">
        <v>22</v>
      </c>
      <c r="C46" s="50"/>
      <c r="D46" s="50"/>
      <c r="E46" s="52" t="s">
        <v>46</v>
      </c>
      <c r="F46" s="50"/>
      <c r="G46" s="44">
        <v>1</v>
      </c>
      <c r="H46" s="44" t="str">
        <f>DEC2HEX(G46,2)</f>
        <v>01</v>
      </c>
      <c r="W46" s="11"/>
    </row>
    <row r="47" spans="2:23" ht="15" thickBot="1" x14ac:dyDescent="0.35">
      <c r="B47" s="23"/>
      <c r="C47" s="24"/>
      <c r="D47" s="24"/>
      <c r="E47" s="25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6"/>
    </row>
    <row r="48" spans="2:23" ht="15" thickTop="1" x14ac:dyDescent="0.3"/>
  </sheetData>
  <mergeCells count="49">
    <mergeCell ref="B2:E2"/>
    <mergeCell ref="B3:F3"/>
    <mergeCell ref="B26:D26"/>
    <mergeCell ref="E26:G26"/>
    <mergeCell ref="I26:W26"/>
    <mergeCell ref="U15:V20"/>
    <mergeCell ref="B27:D27"/>
    <mergeCell ref="E27:F27"/>
    <mergeCell ref="I27:W27"/>
    <mergeCell ref="B28:D28"/>
    <mergeCell ref="E28:F28"/>
    <mergeCell ref="I28:W29"/>
    <mergeCell ref="B29:D29"/>
    <mergeCell ref="E29:F29"/>
    <mergeCell ref="B30:D30"/>
    <mergeCell ref="E30:F30"/>
    <mergeCell ref="B31:D31"/>
    <mergeCell ref="E31:F31"/>
    <mergeCell ref="B32:D32"/>
    <mergeCell ref="E32:F32"/>
    <mergeCell ref="B33:D33"/>
    <mergeCell ref="E33:F33"/>
    <mergeCell ref="B34:D34"/>
    <mergeCell ref="E34:F34"/>
    <mergeCell ref="B35:D35"/>
    <mergeCell ref="E35:F35"/>
    <mergeCell ref="E41:F41"/>
    <mergeCell ref="B36:D36"/>
    <mergeCell ref="E36:F36"/>
    <mergeCell ref="B37:D37"/>
    <mergeCell ref="E37:F37"/>
    <mergeCell ref="B38:D38"/>
    <mergeCell ref="E38:F38"/>
    <mergeCell ref="B45:D45"/>
    <mergeCell ref="E45:F45"/>
    <mergeCell ref="B46:D46"/>
    <mergeCell ref="E46:F46"/>
    <mergeCell ref="B25:W25"/>
    <mergeCell ref="B42:D42"/>
    <mergeCell ref="E42:F42"/>
    <mergeCell ref="B43:D43"/>
    <mergeCell ref="E43:F43"/>
    <mergeCell ref="B44:D44"/>
    <mergeCell ref="E44:F44"/>
    <mergeCell ref="B39:D39"/>
    <mergeCell ref="E39:F39"/>
    <mergeCell ref="B40:D40"/>
    <mergeCell ref="E40:F40"/>
    <mergeCell ref="B41:D4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F6C60-61C6-2649-AC7D-42E5D5C31707}">
  <dimension ref="A1:X47"/>
  <sheetViews>
    <sheetView topLeftCell="A9" workbookViewId="0">
      <selection activeCell="G32" sqref="G32"/>
    </sheetView>
  </sheetViews>
  <sheetFormatPr baseColWidth="10" defaultColWidth="10.77734375" defaultRowHeight="14.4" x14ac:dyDescent="0.3"/>
  <cols>
    <col min="1" max="1" width="15" customWidth="1"/>
    <col min="2" max="2" width="7.77734375" customWidth="1"/>
    <col min="3" max="3" width="7" customWidth="1"/>
    <col min="4" max="4" width="13.6640625" customWidth="1"/>
    <col min="5" max="5" width="13" style="1" customWidth="1"/>
    <col min="6" max="6" width="26.77734375" customWidth="1"/>
    <col min="7" max="7" width="9.33203125" customWidth="1"/>
    <col min="8" max="8" width="9.109375" customWidth="1"/>
    <col min="9" max="20" width="7.77734375" customWidth="1"/>
    <col min="23" max="23" width="11.44140625" customWidth="1"/>
  </cols>
  <sheetData>
    <row r="1" spans="1:24" ht="15" thickBot="1" x14ac:dyDescent="0.35"/>
    <row r="2" spans="1:24" ht="18.600000000000001" thickTop="1" x14ac:dyDescent="0.35">
      <c r="B2" s="81" t="s">
        <v>0</v>
      </c>
      <c r="C2" s="82"/>
      <c r="D2" s="82"/>
      <c r="E2" s="82"/>
      <c r="F2" s="29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9"/>
    </row>
    <row r="3" spans="1:24" ht="18" x14ac:dyDescent="0.35">
      <c r="A3" s="2"/>
      <c r="B3" s="83" t="s">
        <v>97</v>
      </c>
      <c r="C3" s="84"/>
      <c r="D3" s="84"/>
      <c r="E3" s="84"/>
      <c r="F3" s="85"/>
      <c r="X3" s="11"/>
    </row>
    <row r="4" spans="1:24" x14ac:dyDescent="0.3">
      <c r="A4" s="2"/>
      <c r="B4" s="42"/>
      <c r="X4" s="11"/>
    </row>
    <row r="5" spans="1:24" x14ac:dyDescent="0.3">
      <c r="B5" s="12" t="s">
        <v>2</v>
      </c>
      <c r="C5" s="13" t="s">
        <v>3</v>
      </c>
      <c r="D5" s="14" t="s">
        <v>4</v>
      </c>
      <c r="E5" s="15" t="s">
        <v>5</v>
      </c>
      <c r="X5" s="11"/>
    </row>
    <row r="6" spans="1:24" x14ac:dyDescent="0.3">
      <c r="A6" s="2"/>
      <c r="B6" s="16">
        <v>1</v>
      </c>
      <c r="C6" s="44">
        <v>6</v>
      </c>
      <c r="D6" s="1" t="str">
        <f t="shared" ref="D6:D13" si="0">MID($B$3,B6,C6)</f>
        <v>0000BD</v>
      </c>
      <c r="E6" s="5">
        <f>HEX2DEC(D6)</f>
        <v>189</v>
      </c>
      <c r="F6" t="s">
        <v>6</v>
      </c>
      <c r="X6" s="11"/>
    </row>
    <row r="7" spans="1:24" x14ac:dyDescent="0.3">
      <c r="A7" s="2"/>
      <c r="B7" s="16">
        <f t="shared" ref="B7:B13" si="1">B6+C6</f>
        <v>7</v>
      </c>
      <c r="C7" s="44">
        <v>2</v>
      </c>
      <c r="D7" s="1" t="str">
        <f t="shared" si="0"/>
        <v>0C</v>
      </c>
      <c r="E7" s="5">
        <f>HEX2DEC(D7)</f>
        <v>12</v>
      </c>
      <c r="F7" t="s">
        <v>98</v>
      </c>
      <c r="X7" s="11"/>
    </row>
    <row r="8" spans="1:24" x14ac:dyDescent="0.3">
      <c r="A8" s="2"/>
      <c r="B8" s="16">
        <f t="shared" si="1"/>
        <v>9</v>
      </c>
      <c r="C8" s="44">
        <v>2</v>
      </c>
      <c r="D8" s="1" t="str">
        <f t="shared" si="0"/>
        <v>0A</v>
      </c>
      <c r="E8" s="5">
        <f>HEX2DEC(D8)</f>
        <v>10</v>
      </c>
      <c r="F8" t="s">
        <v>8</v>
      </c>
      <c r="X8" s="11"/>
    </row>
    <row r="9" spans="1:24" x14ac:dyDescent="0.3">
      <c r="A9" s="2"/>
      <c r="B9" s="16">
        <f t="shared" si="1"/>
        <v>11</v>
      </c>
      <c r="C9" s="44">
        <v>2</v>
      </c>
      <c r="D9" s="1" t="str">
        <f t="shared" si="0"/>
        <v>01</v>
      </c>
      <c r="E9" s="5" t="str">
        <f>HEX2BIN(D9,8)</f>
        <v>00000001</v>
      </c>
      <c r="F9" t="s">
        <v>9</v>
      </c>
      <c r="X9" s="11"/>
    </row>
    <row r="10" spans="1:24" x14ac:dyDescent="0.3">
      <c r="A10" s="2"/>
      <c r="B10" s="16">
        <f t="shared" si="1"/>
        <v>13</v>
      </c>
      <c r="C10" s="44">
        <v>4</v>
      </c>
      <c r="D10" s="1" t="str">
        <f t="shared" si="0"/>
        <v>00CE</v>
      </c>
      <c r="E10" s="5">
        <f>IF(LEFT(D10,1)&gt;="A",(HEX2DEC(D10)-65536)/10,HEX2DEC(D10)/10)</f>
        <v>20.6</v>
      </c>
      <c r="F10" t="s">
        <v>10</v>
      </c>
      <c r="X10" s="11"/>
    </row>
    <row r="11" spans="1:24" x14ac:dyDescent="0.3">
      <c r="A11" s="2"/>
      <c r="B11" s="16">
        <f t="shared" si="1"/>
        <v>17</v>
      </c>
      <c r="C11" s="44">
        <v>4</v>
      </c>
      <c r="D11" s="1" t="str">
        <f t="shared" si="0"/>
        <v>00CA</v>
      </c>
      <c r="E11" s="5">
        <f>IF(LEFT(D11,1)&gt;="A",(HEX2DEC(D11)-65536)/10,HEX2DEC(D11)/10)</f>
        <v>20.2</v>
      </c>
      <c r="F11" t="s">
        <v>56</v>
      </c>
      <c r="X11" s="11"/>
    </row>
    <row r="12" spans="1:24" x14ac:dyDescent="0.3">
      <c r="A12" s="2"/>
      <c r="B12" s="16">
        <f t="shared" si="1"/>
        <v>21</v>
      </c>
      <c r="C12" s="44">
        <v>4</v>
      </c>
      <c r="D12" s="1" t="str">
        <f t="shared" si="0"/>
        <v>0001</v>
      </c>
      <c r="E12" s="5">
        <f>HEX2DEC(D12)</f>
        <v>1</v>
      </c>
      <c r="F12" t="s">
        <v>14</v>
      </c>
      <c r="G12" s="44" t="str">
        <f>HEX2BIN(MID(D12,1,2),8)</f>
        <v>00000000</v>
      </c>
      <c r="H12" s="44" t="str">
        <f>HEX2BIN(MID(D12,3,2),8)</f>
        <v>00000001</v>
      </c>
      <c r="I12" s="44">
        <f>IF((MID($G12,1,1)="0"),0,1)</f>
        <v>0</v>
      </c>
      <c r="J12" s="44">
        <f>IF((MID($G12,2,1)="0"),0,1)</f>
        <v>0</v>
      </c>
      <c r="K12" s="44">
        <f>IF((MID($G12,3,1)="0"),0,1)</f>
        <v>0</v>
      </c>
      <c r="L12" s="44">
        <f>IF((MID($G12,4,1)="0"),0,1)</f>
        <v>0</v>
      </c>
      <c r="M12" s="44">
        <f>IF((MID($G12,5,1)="0"),0,1)</f>
        <v>0</v>
      </c>
      <c r="N12" s="44">
        <f>IF((MID($G12,6,1)="0"),0,1)</f>
        <v>0</v>
      </c>
      <c r="O12" s="44">
        <f>IF((MID($G12,7,1)="0"),0,1)</f>
        <v>0</v>
      </c>
      <c r="P12" s="44">
        <f>IF((MID($G12,8,1)="0"),0,1)</f>
        <v>0</v>
      </c>
      <c r="Q12" s="44">
        <f>IF((MID($H12,1,1)="0"),0,1)</f>
        <v>0</v>
      </c>
      <c r="R12" s="44">
        <f>IF((MID($H12,2,1)="0"),0,1)</f>
        <v>0</v>
      </c>
      <c r="S12" s="44">
        <f>IF((MID($H12,3,1)="0"),0,1)</f>
        <v>0</v>
      </c>
      <c r="T12" s="44">
        <f>IF((MID($H12,4,1)="0"),0,1)</f>
        <v>0</v>
      </c>
      <c r="U12" s="20" t="str">
        <f>IF((MID($H12,5,1)="0"),"Temp2 Lo OK","Temp2 Lo Alm")</f>
        <v>Temp2 Lo OK</v>
      </c>
      <c r="V12" s="20" t="str">
        <f>IF((MID($H12,6,1)="0"),"Temp2 Hi OK","Temp2 Hi Alm")</f>
        <v>Temp2 Hi OK</v>
      </c>
      <c r="W12" s="20" t="str">
        <f>IF((MID($H12,7,1)="0"),"Temp1 Lo OK","Temp1 Lo Alm")</f>
        <v>Temp1 Lo OK</v>
      </c>
      <c r="X12" s="30" t="str">
        <f>IF((MID($H12,8,1)="0"),"Temp1 Hi OK","Temp1 Hi Alm")</f>
        <v>Temp1 Hi Alm</v>
      </c>
    </row>
    <row r="13" spans="1:24" x14ac:dyDescent="0.3">
      <c r="A13" s="2"/>
      <c r="B13" s="16">
        <f t="shared" si="1"/>
        <v>25</v>
      </c>
      <c r="C13" s="44">
        <v>4</v>
      </c>
      <c r="D13" s="1" t="str">
        <f t="shared" si="0"/>
        <v>0000</v>
      </c>
      <c r="E13" s="5">
        <f>HEX2DEC(D13)</f>
        <v>0</v>
      </c>
      <c r="F13" s="21" t="s">
        <v>15</v>
      </c>
      <c r="G13" s="44" t="str">
        <f>HEX2BIN(MID(D13,1,2),8)</f>
        <v>00000000</v>
      </c>
      <c r="H13" s="44" t="str">
        <f>HEX2BIN(MID(D13,3,2),8)</f>
        <v>00000000</v>
      </c>
      <c r="I13" s="44">
        <f>IF((MID($G13,1,1)="0"),0,1)</f>
        <v>0</v>
      </c>
      <c r="J13" s="44">
        <f>IF((MID($G13,2,1)="0"),0,1)</f>
        <v>0</v>
      </c>
      <c r="K13" s="44">
        <f>IF((MID($G13,3,1)="0"),0,1)</f>
        <v>0</v>
      </c>
      <c r="L13" s="44">
        <f>IF((MID($G13,4,1)="0"),0,1)</f>
        <v>0</v>
      </c>
      <c r="M13" s="44">
        <f>IF((MID($G13,5,1)="0"),0,1)</f>
        <v>0</v>
      </c>
      <c r="N13" s="44">
        <f>IF((MID($G13,6,1)="0"),0,1)</f>
        <v>0</v>
      </c>
      <c r="O13" s="44">
        <f>IF((MID($G13,7,1)="0"),0,1)</f>
        <v>0</v>
      </c>
      <c r="P13" s="44">
        <f>IF((MID($G13,8,1)="0"),0,1)</f>
        <v>0</v>
      </c>
      <c r="Q13" s="44">
        <f>IF((MID($H13,1,1)="0"),0,1)</f>
        <v>0</v>
      </c>
      <c r="R13" s="44">
        <f>IF((MID($H13,2,1)="0"),0,1)</f>
        <v>0</v>
      </c>
      <c r="S13" s="44">
        <f>IF((MID($H13,3,1)="0"),0,1)</f>
        <v>0</v>
      </c>
      <c r="T13" s="44">
        <f>IF((MID($H13,4,1)="0"),0,1)</f>
        <v>0</v>
      </c>
      <c r="U13" s="3">
        <f>IF((MID($H13,5,1)="0"),0,1)</f>
        <v>0</v>
      </c>
      <c r="V13" s="4">
        <f>IF((MID($H13,6,1)="0"),0,1)</f>
        <v>0</v>
      </c>
      <c r="W13" s="20">
        <f>IF((MID($H13,7,1)="0"),0,1)</f>
        <v>0</v>
      </c>
      <c r="X13" s="30" t="str">
        <f>IF((MID($H13,8,1)="0"),"Normal","Alarm")</f>
        <v>Normal</v>
      </c>
    </row>
    <row r="14" spans="1:24" ht="15" customHeight="1" x14ac:dyDescent="0.3">
      <c r="A14" s="2"/>
      <c r="B14" s="16"/>
      <c r="C14" s="44"/>
      <c r="D14" s="1"/>
      <c r="E14" s="17"/>
      <c r="U14" s="76" t="s">
        <v>16</v>
      </c>
      <c r="V14" s="77"/>
      <c r="W14" s="44"/>
      <c r="X14" s="36"/>
    </row>
    <row r="15" spans="1:24" x14ac:dyDescent="0.3">
      <c r="B15" s="22"/>
      <c r="E15" s="17"/>
      <c r="U15" s="78"/>
      <c r="V15" s="77"/>
      <c r="W15" s="44"/>
      <c r="X15" s="36"/>
    </row>
    <row r="16" spans="1:24" x14ac:dyDescent="0.3">
      <c r="B16" s="22"/>
      <c r="E16" s="17"/>
      <c r="U16" s="78"/>
      <c r="V16" s="77"/>
      <c r="W16" s="44"/>
      <c r="X16" s="36"/>
    </row>
    <row r="17" spans="2:24" x14ac:dyDescent="0.3">
      <c r="B17" s="22"/>
      <c r="E17" s="17"/>
      <c r="U17" s="78"/>
      <c r="V17" s="77"/>
      <c r="W17" s="44"/>
      <c r="X17" s="36"/>
    </row>
    <row r="18" spans="2:24" x14ac:dyDescent="0.3">
      <c r="B18" s="22"/>
      <c r="U18" s="78"/>
      <c r="V18" s="77"/>
      <c r="W18" s="44"/>
      <c r="X18" s="36"/>
    </row>
    <row r="19" spans="2:24" x14ac:dyDescent="0.3">
      <c r="B19" s="22"/>
      <c r="U19" s="79"/>
      <c r="V19" s="80"/>
      <c r="W19" s="44"/>
      <c r="X19" s="36"/>
    </row>
    <row r="20" spans="2:24" ht="15" thickBot="1" x14ac:dyDescent="0.35">
      <c r="B20" s="23"/>
      <c r="C20" s="24"/>
      <c r="D20" s="24"/>
      <c r="E20" s="25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6"/>
    </row>
    <row r="21" spans="2:24" ht="15" thickTop="1" x14ac:dyDescent="0.3"/>
    <row r="23" spans="2:24" ht="15" thickBot="1" x14ac:dyDescent="0.35"/>
    <row r="24" spans="2:24" ht="27" thickTop="1" thickBot="1" x14ac:dyDescent="0.55000000000000004">
      <c r="B24" s="73" t="s">
        <v>17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5"/>
    </row>
    <row r="25" spans="2:24" ht="42" customHeight="1" thickTop="1" x14ac:dyDescent="0.35">
      <c r="B25" s="71" t="s">
        <v>18</v>
      </c>
      <c r="C25" s="56"/>
      <c r="D25" s="56"/>
      <c r="E25" s="60" t="s">
        <v>19</v>
      </c>
      <c r="F25" s="61"/>
      <c r="G25" s="62"/>
      <c r="H25" s="45" t="s">
        <v>20</v>
      </c>
      <c r="I25" s="55" t="s">
        <v>21</v>
      </c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7"/>
      <c r="V25" s="57"/>
      <c r="W25" s="58"/>
    </row>
    <row r="26" spans="2:24" x14ac:dyDescent="0.3">
      <c r="B26" s="72"/>
      <c r="C26" s="50"/>
      <c r="D26" s="50"/>
      <c r="E26" s="51"/>
      <c r="F26" s="50"/>
      <c r="G26" s="43"/>
      <c r="H26" s="43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9"/>
    </row>
    <row r="27" spans="2:24" x14ac:dyDescent="0.3">
      <c r="B27" s="64" t="s">
        <v>22</v>
      </c>
      <c r="C27" s="50"/>
      <c r="D27" s="50"/>
      <c r="E27" s="52" t="s">
        <v>23</v>
      </c>
      <c r="F27" s="50"/>
      <c r="G27" s="44">
        <v>0</v>
      </c>
      <c r="H27" s="44" t="str">
        <f>DEC2HEX(G27,6)</f>
        <v>000000</v>
      </c>
      <c r="I27" s="53" t="str">
        <f>H27&amp;H28&amp;H29&amp;H30&amp;H31&amp;H32&amp;H33&amp;H34&amp;H35&amp;H36&amp;H37&amp;H38&amp;H39&amp;H40&amp;H41&amp;H42&amp;H43&amp;H44&amp;H45</f>
        <v>000000030000012C00000000015E00C8032001900000000000000000000000000000000001</v>
      </c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4"/>
      <c r="U27" s="53"/>
      <c r="V27" s="53"/>
      <c r="W27" s="54"/>
    </row>
    <row r="28" spans="2:24" x14ac:dyDescent="0.3">
      <c r="B28" s="64" t="s">
        <v>24</v>
      </c>
      <c r="C28" s="50"/>
      <c r="D28" s="50"/>
      <c r="E28" s="52" t="s">
        <v>25</v>
      </c>
      <c r="F28" s="50"/>
      <c r="G28" s="44">
        <v>3</v>
      </c>
      <c r="H28" s="44" t="str">
        <f>DEC2HEX(G28,2)</f>
        <v>03</v>
      </c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4"/>
      <c r="U28" s="53"/>
      <c r="V28" s="53"/>
      <c r="W28" s="54"/>
    </row>
    <row r="29" spans="2:24" x14ac:dyDescent="0.3">
      <c r="B29" s="64" t="s">
        <v>22</v>
      </c>
      <c r="C29" s="50"/>
      <c r="D29" s="50"/>
      <c r="E29" s="52" t="s">
        <v>23</v>
      </c>
      <c r="F29" s="50"/>
      <c r="G29" s="44">
        <v>0</v>
      </c>
      <c r="H29" s="44" t="str">
        <f>DEC2HEX(G29,4)</f>
        <v>0000</v>
      </c>
      <c r="W29" s="11"/>
    </row>
    <row r="30" spans="2:24" x14ac:dyDescent="0.3">
      <c r="B30" s="64" t="s">
        <v>26</v>
      </c>
      <c r="C30" s="50"/>
      <c r="D30" s="50"/>
      <c r="E30" s="52" t="s">
        <v>27</v>
      </c>
      <c r="F30" s="50"/>
      <c r="G30" s="27">
        <v>5</v>
      </c>
      <c r="H30" s="44" t="str">
        <f>DEC2HEX(G30*60,4)</f>
        <v>012C</v>
      </c>
      <c r="W30" s="11"/>
    </row>
    <row r="31" spans="2:24" x14ac:dyDescent="0.3">
      <c r="B31" s="64" t="s">
        <v>22</v>
      </c>
      <c r="C31" s="50"/>
      <c r="D31" s="50"/>
      <c r="E31" s="52" t="s">
        <v>28</v>
      </c>
      <c r="F31" s="50"/>
      <c r="G31" s="103">
        <v>0</v>
      </c>
      <c r="H31" s="44" t="str">
        <f t="shared" ref="H31:H44" si="2">DEC2HEX(G31,4)</f>
        <v>0000</v>
      </c>
      <c r="W31" s="11"/>
    </row>
    <row r="32" spans="2:24" x14ac:dyDescent="0.3">
      <c r="B32" s="64" t="s">
        <v>22</v>
      </c>
      <c r="C32" s="50"/>
      <c r="D32" s="50"/>
      <c r="E32" s="52" t="s">
        <v>29</v>
      </c>
      <c r="F32" s="50"/>
      <c r="G32" s="103">
        <v>0</v>
      </c>
      <c r="H32" s="44" t="str">
        <f>DEC2HEX(G32*3600,4)</f>
        <v>0000</v>
      </c>
      <c r="W32" s="11"/>
    </row>
    <row r="33" spans="2:23" x14ac:dyDescent="0.3">
      <c r="B33" s="64" t="s">
        <v>30</v>
      </c>
      <c r="C33" s="50"/>
      <c r="D33" s="50"/>
      <c r="E33" s="52" t="s">
        <v>99</v>
      </c>
      <c r="F33" s="50"/>
      <c r="G33" s="28">
        <v>35</v>
      </c>
      <c r="H33" s="44" t="str">
        <f>IF(G33&lt;0,DEC2HEX(65536+(G33*10),4),DEC2HEX(G33*10,4))</f>
        <v>015E</v>
      </c>
      <c r="W33" s="11"/>
    </row>
    <row r="34" spans="2:23" x14ac:dyDescent="0.3">
      <c r="B34" s="64" t="s">
        <v>32</v>
      </c>
      <c r="C34" s="50"/>
      <c r="D34" s="50"/>
      <c r="E34" s="52" t="s">
        <v>100</v>
      </c>
      <c r="F34" s="50"/>
      <c r="G34" s="28">
        <v>20</v>
      </c>
      <c r="H34" s="44" t="str">
        <f>IF(G34&lt;0,DEC2HEX(65536+(G34*10),4),DEC2HEX(G34*10,4))</f>
        <v>00C8</v>
      </c>
      <c r="W34" s="11"/>
    </row>
    <row r="35" spans="2:23" x14ac:dyDescent="0.3">
      <c r="B35" s="64" t="s">
        <v>34</v>
      </c>
      <c r="C35" s="50"/>
      <c r="D35" s="50"/>
      <c r="E35" s="52" t="s">
        <v>101</v>
      </c>
      <c r="F35" s="50"/>
      <c r="G35" s="28">
        <v>80</v>
      </c>
      <c r="H35" s="44" t="str">
        <f>IF(G35&lt;0,DEC2HEX(65536+(G35*10),4),DEC2HEX(G35*10,4))</f>
        <v>0320</v>
      </c>
      <c r="W35" s="11"/>
    </row>
    <row r="36" spans="2:23" x14ac:dyDescent="0.3">
      <c r="B36" s="65" t="s">
        <v>36</v>
      </c>
      <c r="C36" s="50"/>
      <c r="D36" s="50"/>
      <c r="E36" s="52" t="s">
        <v>102</v>
      </c>
      <c r="F36" s="50"/>
      <c r="G36" s="28">
        <v>40</v>
      </c>
      <c r="H36" s="44" t="str">
        <f>IF(G36&lt;0,DEC2HEX(65536+(G36*10),4),DEC2HEX(G36*10,4))</f>
        <v>0190</v>
      </c>
      <c r="W36" s="11"/>
    </row>
    <row r="37" spans="2:23" x14ac:dyDescent="0.3">
      <c r="B37" s="49" t="s">
        <v>38</v>
      </c>
      <c r="C37" s="50"/>
      <c r="D37" s="50"/>
      <c r="E37" s="52" t="s">
        <v>23</v>
      </c>
      <c r="F37" s="50"/>
      <c r="G37" s="44">
        <v>0</v>
      </c>
      <c r="H37" s="44" t="str">
        <f t="shared" si="2"/>
        <v>0000</v>
      </c>
      <c r="W37" s="11"/>
    </row>
    <row r="38" spans="2:23" x14ac:dyDescent="0.3">
      <c r="B38" s="49" t="s">
        <v>39</v>
      </c>
      <c r="C38" s="50"/>
      <c r="D38" s="50"/>
      <c r="E38" s="52" t="s">
        <v>23</v>
      </c>
      <c r="F38" s="50"/>
      <c r="G38" s="44">
        <v>0</v>
      </c>
      <c r="H38" s="44" t="str">
        <f t="shared" si="2"/>
        <v>0000</v>
      </c>
      <c r="W38" s="11"/>
    </row>
    <row r="39" spans="2:23" x14ac:dyDescent="0.3">
      <c r="B39" s="49" t="s">
        <v>40</v>
      </c>
      <c r="C39" s="50"/>
      <c r="D39" s="50"/>
      <c r="E39" s="52" t="s">
        <v>23</v>
      </c>
      <c r="F39" s="50"/>
      <c r="G39" s="44">
        <v>0</v>
      </c>
      <c r="H39" s="44" t="str">
        <f t="shared" si="2"/>
        <v>0000</v>
      </c>
      <c r="W39" s="11"/>
    </row>
    <row r="40" spans="2:23" x14ac:dyDescent="0.3">
      <c r="B40" s="49" t="s">
        <v>41</v>
      </c>
      <c r="C40" s="50"/>
      <c r="D40" s="50"/>
      <c r="E40" s="52" t="s">
        <v>23</v>
      </c>
      <c r="F40" s="50"/>
      <c r="G40" s="44">
        <v>0</v>
      </c>
      <c r="H40" s="44" t="str">
        <f t="shared" si="2"/>
        <v>0000</v>
      </c>
      <c r="W40" s="11"/>
    </row>
    <row r="41" spans="2:23" x14ac:dyDescent="0.3">
      <c r="B41" s="49" t="s">
        <v>42</v>
      </c>
      <c r="C41" s="50"/>
      <c r="D41" s="50"/>
      <c r="E41" s="52" t="s">
        <v>23</v>
      </c>
      <c r="F41" s="50"/>
      <c r="G41" s="44">
        <v>0</v>
      </c>
      <c r="H41" s="44" t="str">
        <f t="shared" si="2"/>
        <v>0000</v>
      </c>
      <c r="W41" s="11"/>
    </row>
    <row r="42" spans="2:23" x14ac:dyDescent="0.3">
      <c r="B42" s="49" t="s">
        <v>43</v>
      </c>
      <c r="C42" s="50"/>
      <c r="D42" s="50"/>
      <c r="E42" s="52" t="s">
        <v>23</v>
      </c>
      <c r="F42" s="50"/>
      <c r="G42" s="44">
        <v>0</v>
      </c>
      <c r="H42" s="44" t="str">
        <f t="shared" si="2"/>
        <v>0000</v>
      </c>
      <c r="W42" s="11"/>
    </row>
    <row r="43" spans="2:23" x14ac:dyDescent="0.3">
      <c r="B43" s="49" t="s">
        <v>44</v>
      </c>
      <c r="C43" s="50"/>
      <c r="D43" s="50"/>
      <c r="E43" s="52" t="s">
        <v>23</v>
      </c>
      <c r="F43" s="50"/>
      <c r="G43" s="44">
        <v>0</v>
      </c>
      <c r="H43" s="44" t="str">
        <f t="shared" si="2"/>
        <v>0000</v>
      </c>
      <c r="W43" s="11"/>
    </row>
    <row r="44" spans="2:23" x14ac:dyDescent="0.3">
      <c r="B44" s="49" t="s">
        <v>45</v>
      </c>
      <c r="C44" s="50"/>
      <c r="D44" s="50"/>
      <c r="E44" s="52" t="s">
        <v>23</v>
      </c>
      <c r="F44" s="50"/>
      <c r="G44" s="44">
        <v>0</v>
      </c>
      <c r="H44" s="44" t="str">
        <f t="shared" si="2"/>
        <v>0000</v>
      </c>
      <c r="W44" s="11"/>
    </row>
    <row r="45" spans="2:23" x14ac:dyDescent="0.3">
      <c r="B45" s="49" t="s">
        <v>22</v>
      </c>
      <c r="C45" s="50"/>
      <c r="D45" s="50"/>
      <c r="E45" s="52" t="s">
        <v>46</v>
      </c>
      <c r="F45" s="50"/>
      <c r="G45" s="44">
        <v>1</v>
      </c>
      <c r="H45" s="44" t="str">
        <f>DEC2HEX(G45,2)</f>
        <v>01</v>
      </c>
      <c r="W45" s="11"/>
    </row>
    <row r="46" spans="2:23" ht="15" thickBot="1" x14ac:dyDescent="0.35">
      <c r="B46" s="23"/>
      <c r="C46" s="24"/>
      <c r="D46" s="24"/>
      <c r="E46" s="25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6"/>
    </row>
    <row r="47" spans="2:23" ht="15" thickTop="1" x14ac:dyDescent="0.3"/>
  </sheetData>
  <mergeCells count="49">
    <mergeCell ref="B2:E2"/>
    <mergeCell ref="B3:F3"/>
    <mergeCell ref="B25:D25"/>
    <mergeCell ref="E25:G25"/>
    <mergeCell ref="I25:W25"/>
    <mergeCell ref="U14:V19"/>
    <mergeCell ref="B26:D26"/>
    <mergeCell ref="E26:F26"/>
    <mergeCell ref="I26:W26"/>
    <mergeCell ref="B27:D27"/>
    <mergeCell ref="E27:F27"/>
    <mergeCell ref="I27:W28"/>
    <mergeCell ref="B28:D28"/>
    <mergeCell ref="E28:F28"/>
    <mergeCell ref="B29:D29"/>
    <mergeCell ref="E29:F29"/>
    <mergeCell ref="B30:D30"/>
    <mergeCell ref="E30:F30"/>
    <mergeCell ref="B31:D31"/>
    <mergeCell ref="E31:F31"/>
    <mergeCell ref="B32:D32"/>
    <mergeCell ref="E32:F32"/>
    <mergeCell ref="B33:D33"/>
    <mergeCell ref="E33:F33"/>
    <mergeCell ref="B34:D34"/>
    <mergeCell ref="E34:F34"/>
    <mergeCell ref="E40:F40"/>
    <mergeCell ref="B35:D35"/>
    <mergeCell ref="E35:F35"/>
    <mergeCell ref="B36:D36"/>
    <mergeCell ref="E36:F36"/>
    <mergeCell ref="B37:D37"/>
    <mergeCell ref="E37:F37"/>
    <mergeCell ref="B44:D44"/>
    <mergeCell ref="E44:F44"/>
    <mergeCell ref="B45:D45"/>
    <mergeCell ref="E45:F45"/>
    <mergeCell ref="B24:W24"/>
    <mergeCell ref="B41:D41"/>
    <mergeCell ref="E41:F41"/>
    <mergeCell ref="B42:D42"/>
    <mergeCell ref="E42:F42"/>
    <mergeCell ref="B43:D43"/>
    <mergeCell ref="E43:F43"/>
    <mergeCell ref="B38:D38"/>
    <mergeCell ref="E38:F38"/>
    <mergeCell ref="B39:D39"/>
    <mergeCell ref="E39:F39"/>
    <mergeCell ref="B40:D4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534EDE2D289644B74E2691B7365B97" ma:contentTypeVersion="8" ma:contentTypeDescription="Create a new document." ma:contentTypeScope="" ma:versionID="0d1d815ade75fd949f66dbcc61d08c0b">
  <xsd:schema xmlns:xsd="http://www.w3.org/2001/XMLSchema" xmlns:xs="http://www.w3.org/2001/XMLSchema" xmlns:p="http://schemas.microsoft.com/office/2006/metadata/properties" xmlns:ns2="2000cf1b-6582-43a1-8f37-54ccec059470" targetNamespace="http://schemas.microsoft.com/office/2006/metadata/properties" ma:root="true" ma:fieldsID="57f4d6e3cdfb0526d04cafb5c0ef3381" ns2:_="">
    <xsd:import namespace="2000cf1b-6582-43a1-8f37-54ccec0594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00cf1b-6582-43a1-8f37-54ccec0594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785d1023-3d65-4805-a68f-9bad435a4a8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000cf1b-6582-43a1-8f37-54ccec059470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5C457F-BB7A-44CC-AB61-A610310D02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00cf1b-6582-43a1-8f37-54ccec0594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B1E65E7-6623-492F-B46A-74D77534C575}">
  <ds:schemaRefs>
    <ds:schemaRef ds:uri="http://purl.org/dc/terms/"/>
    <ds:schemaRef ds:uri="http://schemas.openxmlformats.org/package/2006/metadata/core-properties"/>
    <ds:schemaRef ds:uri="http://purl.org/dc/dcmitype/"/>
    <ds:schemaRef ds:uri="2000cf1b-6582-43a1-8f37-54ccec059470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02A1170-36E0-4A7C-9D8E-5BC12474D1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600-021</vt:lpstr>
      <vt:lpstr>600-022</vt:lpstr>
      <vt:lpstr>600-023</vt:lpstr>
      <vt:lpstr>600-031</vt:lpstr>
      <vt:lpstr>600-036</vt:lpstr>
      <vt:lpstr>600-037</vt:lpstr>
      <vt:lpstr>600-038</vt:lpstr>
      <vt:lpstr>600-039</vt:lpstr>
      <vt:lpstr>600-232</vt:lpstr>
      <vt:lpstr>600-035</vt:lpstr>
      <vt:lpstr>600-034</vt:lpstr>
      <vt:lpstr>600-032</vt:lpstr>
    </vt:vector>
  </TitlesOfParts>
  <Manager/>
  <Company>VINCI Energies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GUERILLON Arnaud</dc:creator>
  <cp:keywords/>
  <dc:description/>
  <cp:lastModifiedBy>Hamdi Abidi</cp:lastModifiedBy>
  <cp:revision/>
  <dcterms:created xsi:type="dcterms:W3CDTF">2013-01-29T06:52:04Z</dcterms:created>
  <dcterms:modified xsi:type="dcterms:W3CDTF">2023-10-25T08:56:33Z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0x0101003F534EDE2D289644B74E2691B7365B97</vt:lpwstr>
  </property>
  <property fmtid="{D5CDD505-2E9C-101B-9397-08002B2CF9AE}" pid="3" name="MediaServiceImageTags">
    <vt:lpwstr/>
  </property>
</Properties>
</file>